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Sheet1" sheetId="1" r:id="rId1"/>
    <sheet name="IA" sheetId="2" r:id="rId2"/>
    <sheet name="IB" sheetId="3" r:id="rId3"/>
    <sheet name="IC" sheetId="4" r:id="rId4"/>
  </sheets>
  <definedNames>
    <definedName name="_xlnm.Print_Area" localSheetId="2">'IB'!$A$1:$J$42</definedName>
  </definedNames>
  <calcPr fullCalcOnLoad="1"/>
</workbook>
</file>

<file path=xl/sharedStrings.xml><?xml version="1.0" encoding="utf-8"?>
<sst xmlns="http://schemas.openxmlformats.org/spreadsheetml/2006/main" count="258" uniqueCount="150">
  <si>
    <t>IUFR 1A</t>
  </si>
  <si>
    <t xml:space="preserve">TAMIL NADU HEALTH SYSTEMS PROJECT                                                     </t>
  </si>
  <si>
    <t>SOURCES AND USES OF FUND STATEMENT-CONSOLIDATION</t>
  </si>
  <si>
    <t>Currency: in Indian Rupees in Lakhs</t>
  </si>
  <si>
    <t>Details</t>
  </si>
  <si>
    <t>First  Quarter of IDA 4756 (1.04.2011 to 30.06.2011)</t>
  </si>
  <si>
    <t>Budget</t>
  </si>
  <si>
    <t>Actual</t>
  </si>
  <si>
    <t>PAD</t>
  </si>
  <si>
    <t>Variance</t>
  </si>
  <si>
    <t>Sources of Funds</t>
  </si>
  <si>
    <t>1. Opening Balance</t>
  </si>
  <si>
    <t xml:space="preserve">          -   Bank Balance</t>
  </si>
  <si>
    <t>Advances:</t>
  </si>
  <si>
    <t xml:space="preserve"> -  Advances with TNMSC</t>
  </si>
  <si>
    <t xml:space="preserve"> -  Advances with ELCOT</t>
  </si>
  <si>
    <t>-</t>
  </si>
  <si>
    <t xml:space="preserve"> -  Advances in PMU &amp; DPMUs</t>
  </si>
  <si>
    <t xml:space="preserve">Total </t>
  </si>
  <si>
    <t>2.Inflow:</t>
  </si>
  <si>
    <t xml:space="preserve">        -   towards Civil Works -through LOC</t>
  </si>
  <si>
    <t xml:space="preserve">        -   to TNMSC (advance to PD Account) </t>
  </si>
  <si>
    <t xml:space="preserve">        -   to ELCOT (advance to PD Account) </t>
  </si>
  <si>
    <t xml:space="preserve">        -   to Society advance through Treasury</t>
  </si>
  <si>
    <t xml:space="preserve">        -  Contract Staff - directly thru Treasury</t>
  </si>
  <si>
    <t>3.Other Receipts</t>
  </si>
  <si>
    <t xml:space="preserve">        -   Interest received from bank</t>
  </si>
  <si>
    <t xml:space="preserve">        -   Miscellaneous Receipts</t>
  </si>
  <si>
    <t>4.Total Inflow (2+3)</t>
  </si>
  <si>
    <t>Total sources of funds (1+4)</t>
  </si>
  <si>
    <t>Uses of Funds</t>
  </si>
  <si>
    <t>Expenditure On</t>
  </si>
  <si>
    <t xml:space="preserve">1.Civil Works </t>
  </si>
  <si>
    <t xml:space="preserve">        -Major*</t>
  </si>
  <si>
    <t>2(a)Goods &amp; Equipment-(Assets)</t>
  </si>
  <si>
    <t xml:space="preserve">     - Hospitals</t>
  </si>
  <si>
    <t xml:space="preserve">     - IEC Goods</t>
  </si>
  <si>
    <t xml:space="preserve">     - PMU Office</t>
  </si>
  <si>
    <t xml:space="preserve">     - DPMU's Offices</t>
  </si>
  <si>
    <t>2(b)-Equipments-Computer &amp; its peripheral procured by ELCOT</t>
  </si>
  <si>
    <t xml:space="preserve">                    - hospitals</t>
  </si>
  <si>
    <t>3.Services:(Society)</t>
  </si>
  <si>
    <t xml:space="preserve">        - NGO/ Private Services for service delivery</t>
  </si>
  <si>
    <t xml:space="preserve">        - Training &amp; Workshops</t>
  </si>
  <si>
    <t xml:space="preserve">        - Consultanies</t>
  </si>
  <si>
    <t xml:space="preserve">        - IEC (etc)</t>
  </si>
  <si>
    <t>4. Operating Costs (PMU &amp; DPMU)**</t>
  </si>
  <si>
    <t xml:space="preserve">5(a) Contractual Staff Salaries (through Treasuries)^ </t>
  </si>
  <si>
    <t>5(b) Salaries (through Society)</t>
  </si>
  <si>
    <t>6.Soft activities Total (3+4+5)</t>
  </si>
  <si>
    <t xml:space="preserve"> Adjustment (Refer Note No.6)</t>
  </si>
  <si>
    <t>7.Total Eligible Expenditure (1+2+6)</t>
  </si>
  <si>
    <t>8.Expenditure not eligible for reimbursement ***</t>
  </si>
  <si>
    <t>9.Refunds</t>
  </si>
  <si>
    <t xml:space="preserve">       - from TNMSC to GoTN</t>
  </si>
  <si>
    <t xml:space="preserve">       - from ELCOT to GoTN</t>
  </si>
  <si>
    <t xml:space="preserve">       - from Temporary Advances  to GoTN</t>
  </si>
  <si>
    <t>Total Refunds</t>
  </si>
  <si>
    <t>10.Closing Balance</t>
  </si>
  <si>
    <t xml:space="preserve">          - Cash</t>
  </si>
  <si>
    <t xml:space="preserve">         - Advances</t>
  </si>
  <si>
    <t xml:space="preserve">               - with TNMSC</t>
  </si>
  <si>
    <t xml:space="preserve">               - with ELCOT</t>
  </si>
  <si>
    <t xml:space="preserve">               - Others (PMU &amp; DPMU)</t>
  </si>
  <si>
    <t xml:space="preserve">    - Bank Balance</t>
  </si>
  <si>
    <t>Total Closing Balance</t>
  </si>
  <si>
    <t>Total Uses of Funds (7+8+9+10)</t>
  </si>
  <si>
    <t>Summary for Reimbursement</t>
  </si>
  <si>
    <t>Category Description</t>
  </si>
  <si>
    <t>Category</t>
  </si>
  <si>
    <t>Eligible Expenditure</t>
  </si>
  <si>
    <t>Reimbursement %</t>
  </si>
  <si>
    <t>Reimbursement</t>
  </si>
  <si>
    <t>Civil works, Goods, Services, Consultancies, NGOSs, Training &amp; Workshops, Contractuals staff salaries &amp; Operating costs from Additional Financing -Credit No.4756-IN</t>
  </si>
  <si>
    <t>Total</t>
  </si>
  <si>
    <t>Notes</t>
  </si>
  <si>
    <t>A sum of Rs.123.77 lacs from Society funds is included in the closing balance of TNMSC</t>
  </si>
  <si>
    <t>The reimbursement confined to IDA Cr.4756-IN only for the expenditure incurred under Ist  quarter q/e 30.06.2011</t>
  </si>
  <si>
    <t>We certify that the above figures are based on &amp; in agreement with the monthly/quarterly financial reports from the various implementing units &amp; expenditures at the PMU/DPMUs.   Necessary supporting documents (contracts, running bills, M-Books, invoices, vouchers etc) are retained at the various implementing units and are available for review.</t>
  </si>
  <si>
    <t>Financial Advisor &amp; Chief Accounts Officer</t>
  </si>
  <si>
    <t>Project Director</t>
  </si>
  <si>
    <t>TNSHP</t>
  </si>
  <si>
    <t>TNHSP</t>
  </si>
  <si>
    <t>IDA  4756-IN</t>
  </si>
  <si>
    <t>IUFR 1B</t>
  </si>
  <si>
    <t>TAMIL NADU HEALTH SYSTEMS  PROJECT</t>
  </si>
  <si>
    <t xml:space="preserve"> FUNDS STATEMENT BY COMPONENTS &amp; SUB COMPONENTS</t>
  </si>
  <si>
    <t>Currency: In Lakhs</t>
  </si>
  <si>
    <t>S.No</t>
  </si>
  <si>
    <t>Component/Sub Component</t>
  </si>
  <si>
    <t>Original</t>
  </si>
  <si>
    <t>Add'n Financing</t>
  </si>
  <si>
    <t>Component I: Increasing Access to and Utilization of Services</t>
  </si>
  <si>
    <t>Sub-Component 1. Reducing Maternal/Neo Natal Mortality</t>
  </si>
  <si>
    <t>Sub Component 2: Improving Tribal Health</t>
  </si>
  <si>
    <t>Sub Component 3. Facilitating Use of Hospitals by the poor and   the Disadvantaged</t>
  </si>
  <si>
    <t>Component II: NCD Prevention &amp; Control</t>
  </si>
  <si>
    <t>Sub-Component 1 Health Promotion</t>
  </si>
  <si>
    <t>Sub Component 2.NCD Interventions</t>
  </si>
  <si>
    <t>Sub-Component 3. Accident Prevention and Treatment*</t>
  </si>
  <si>
    <t>Component III: Building Capacity for Oversight and Management of Health System</t>
  </si>
  <si>
    <t>Sub Component1. Monitoring and Evaluation by Strengthening HMIS</t>
  </si>
  <si>
    <t>Sub-Component 2. Improving Quality of Care</t>
  </si>
  <si>
    <t>Sub-Component 3. Health Care Waste Management</t>
  </si>
  <si>
    <t>Sub-Component 4. Capacity building for Strategy Development and Implementation</t>
  </si>
  <si>
    <t>(i)    Strategic Planning</t>
  </si>
  <si>
    <t>(ii)   PPP Management</t>
  </si>
  <si>
    <t>(iv)  Project Management</t>
  </si>
  <si>
    <t>Component IV: Improving Effectiveness &amp; Efficiency of Public Sector to deliver essential services</t>
  </si>
  <si>
    <t>Sub-Component 1. Rationalization of secondary care facilities*</t>
  </si>
  <si>
    <t>Sub-Component 2 Rationalizing of Equipment</t>
  </si>
  <si>
    <t>Sub-Component 3 Human Resource Planning &amp; Development</t>
  </si>
  <si>
    <t>Sub Component 4.Enhancement of Hospital Facilities*</t>
  </si>
  <si>
    <t>Price Contingencies &amp; Physical contingencies</t>
  </si>
  <si>
    <t>Project Director, TNHSP</t>
  </si>
  <si>
    <t>Tamil Nadu Health Systems Project</t>
  </si>
  <si>
    <t>IDA-4756-IN</t>
  </si>
  <si>
    <t>Rs Lacs</t>
  </si>
  <si>
    <t>Contract No</t>
  </si>
  <si>
    <t>Date</t>
  </si>
  <si>
    <t>Contractors Name</t>
  </si>
  <si>
    <t>Contract value</t>
  </si>
  <si>
    <t>Expenditure during the Quarter</t>
  </si>
  <si>
    <t xml:space="preserve"> The expenditures incurred by the DPMUs (29 Nos) for the month of June  2011 are now  reconciled with AG. </t>
  </si>
  <si>
    <t>Cum. Expenditure</t>
  </si>
  <si>
    <t>Cumulative expenses of IDA 4018 &amp; 4756 (27.1.2005 to 30.06.2011</t>
  </si>
  <si>
    <t>The departmental expenditure figures were reconciled with that of Accountant General upto the month of June 2011.</t>
  </si>
  <si>
    <t>In the IUFR-IC all the details on prior review and post review contracts are given whereas the post review contracts are distinguished separately by an asterick mark.</t>
  </si>
  <si>
    <t xml:space="preserve">Expenditure on Prior Review and Post Review Contracts </t>
  </si>
  <si>
    <t>The Opening Bank balance is correct,since the balance shown in the last quarter of IUFR of 2010-2011 (q/e 31.3.2011) is only Rs.501.64 lakhs which was taken as OB in this quarter also. The error made in the last quarter is corrected in the PFS 2010-2011 sent to AG for Certificate Audit. Therefore the correct bank balance is only Rs.501.64 lakhs stands good for this quarter.</t>
  </si>
  <si>
    <t>The refund of Rs.14.36 lakhs received from TNMSC towards savings from the expenditure incurred for accreditation of hospitals programme and Rs.4000/-revenue earned through installing of BMI (Bio-Mass-Index) Machine has been accounted as miscellaneous receipts for Rs14.40 lakhs.</t>
  </si>
  <si>
    <t>The increase in Contractual  Salaries (through Treasuries ) is due to salaries claimed for NCD Staff Nurses posted to JDHS Hospitals,Primary Health Centres attached to DDHS,hospitals attached to DME,Hospitals attached to local bodies and Chennai Corporation. A summary of Staff attached to the hospitals has already been sent in our replies to comments mailed on 02.09.2011.</t>
  </si>
  <si>
    <t>IUFR 1C</t>
  </si>
  <si>
    <t>I Quarter</t>
  </si>
  <si>
    <t>First  Quarter of IDA 4756 (1.07.2011 to 30.09.2011)</t>
  </si>
  <si>
    <t>Year to date  of IDA 4756 (1.04.2011 to 30.09.2011)</t>
  </si>
  <si>
    <t>Cumulative to date for IDA 4756 (01.07.2010 to 30.09.2011)</t>
  </si>
  <si>
    <t>Cumulative expenses of IDA 4018 &amp; 4756 (27.1.2005 to 30.09.2011</t>
  </si>
  <si>
    <t xml:space="preserve"> IUFR 1A-FOR SECOND  QUARTER-2011-2012</t>
  </si>
  <si>
    <t>Opening Balance for Cumulative on 1.4.2011 for IDA 4756</t>
  </si>
  <si>
    <t xml:space="preserve">Opening Balance for Cumulative Expenses on 1.4.2011 for IDA4018 &amp; IDA 4756  </t>
  </si>
  <si>
    <t>Second  Quarter of IDA 4756 (1.07.2011 to 30.09.2011)</t>
  </si>
  <si>
    <t>II Quarter</t>
  </si>
  <si>
    <t>Year to Date (1.04.2011 to 30.09.2011)</t>
  </si>
  <si>
    <t>Cumulative to Date (27.1.2005 to 30.09.2011)</t>
  </si>
  <si>
    <t>Interim Unaudited Financial Report for the period 1.07.2011 to 30.09.2011</t>
  </si>
  <si>
    <t>NIL</t>
  </si>
  <si>
    <t xml:space="preserve"> IUFR 1A-FOR SECOND  QUARTER-2011-2012 (Q/E 30.9.2011)</t>
  </si>
  <si>
    <t>The departmental expenditure figures including that of District Project Management Units were reconciled with that of Accountant General upto the month of August 2011.</t>
  </si>
  <si>
    <t>The reimbursement confined to IDA Cr.4756-IN only for the expenditure incurred during the  period from 1.7.2011 to  30.09.2011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</si>
</sst>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\-??_);_(@_)"/>
    <numFmt numFmtId="173" formatCode="_-* #,##0.00_-;\-* #,##0.00_-;_-* \-??_-;_-@_-"/>
    <numFmt numFmtId="174" formatCode="_(* #,##0_);_(* \(#,##0\);_(* \-??_);_(@_)"/>
    <numFmt numFmtId="175" formatCode="0.000"/>
    <numFmt numFmtId="176" formatCode="mmmm\ d&quot;, &quot;yyyy;@"/>
    <numFmt numFmtId="177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Utopia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60"/>
      <name val="Arial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6" xfId="55" applyFont="1" applyBorder="1" applyAlignment="1">
      <alignment horizontal="center" vertical="top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55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1" xfId="55" applyFont="1" applyBorder="1" applyAlignment="1">
      <alignment vertical="top" wrapText="1"/>
      <protection/>
    </xf>
    <xf numFmtId="172" fontId="3" fillId="0" borderId="0" xfId="42" applyNumberFormat="1" applyFont="1" applyBorder="1" applyAlignment="1">
      <alignment/>
    </xf>
    <xf numFmtId="172" fontId="3" fillId="0" borderId="22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172" fontId="3" fillId="0" borderId="0" xfId="42" applyNumberFormat="1" applyFont="1" applyFill="1" applyBorder="1" applyAlignment="1" applyProtection="1">
      <alignment/>
      <protection/>
    </xf>
    <xf numFmtId="172" fontId="3" fillId="0" borderId="24" xfId="42" applyNumberFormat="1" applyFont="1" applyBorder="1" applyAlignment="1">
      <alignment/>
    </xf>
    <xf numFmtId="0" fontId="6" fillId="0" borderId="21" xfId="55" applyFont="1" applyBorder="1" applyAlignment="1">
      <alignment horizontal="left" vertical="top" wrapText="1" indent="2"/>
      <protection/>
    </xf>
    <xf numFmtId="0" fontId="2" fillId="0" borderId="11" xfId="0" applyFont="1" applyBorder="1" applyAlignment="1">
      <alignment horizontal="left"/>
    </xf>
    <xf numFmtId="172" fontId="3" fillId="0" borderId="25" xfId="42" applyNumberFormat="1" applyFont="1" applyBorder="1" applyAlignment="1">
      <alignment/>
    </xf>
    <xf numFmtId="172" fontId="3" fillId="0" borderId="26" xfId="42" applyNumberFormat="1" applyFont="1" applyFill="1" applyBorder="1" applyAlignment="1" applyProtection="1">
      <alignment/>
      <protection/>
    </xf>
    <xf numFmtId="172" fontId="3" fillId="0" borderId="27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8" xfId="42" applyNumberFormat="1" applyFont="1" applyFill="1" applyBorder="1" applyAlignment="1" applyProtection="1">
      <alignment/>
      <protection/>
    </xf>
    <xf numFmtId="172" fontId="3" fillId="0" borderId="10" xfId="42" applyNumberFormat="1" applyFont="1" applyBorder="1" applyAlignment="1">
      <alignment/>
    </xf>
    <xf numFmtId="0" fontId="2" fillId="0" borderId="16" xfId="0" applyFont="1" applyBorder="1" applyAlignment="1">
      <alignment/>
    </xf>
    <xf numFmtId="172" fontId="3" fillId="0" borderId="17" xfId="42" applyNumberFormat="1" applyFont="1" applyBorder="1" applyAlignment="1">
      <alignment/>
    </xf>
    <xf numFmtId="172" fontId="3" fillId="0" borderId="18" xfId="42" applyNumberFormat="1" applyFont="1" applyFill="1" applyBorder="1" applyAlignment="1" applyProtection="1">
      <alignment/>
      <protection/>
    </xf>
    <xf numFmtId="172" fontId="3" fillId="0" borderId="19" xfId="42" applyNumberFormat="1" applyFont="1" applyFill="1" applyBorder="1" applyAlignment="1" applyProtection="1">
      <alignment/>
      <protection/>
    </xf>
    <xf numFmtId="172" fontId="3" fillId="0" borderId="17" xfId="42" applyNumberFormat="1" applyFont="1" applyFill="1" applyBorder="1" applyAlignment="1" applyProtection="1">
      <alignment/>
      <protection/>
    </xf>
    <xf numFmtId="172" fontId="3" fillId="0" borderId="29" xfId="42" applyNumberFormat="1" applyFont="1" applyFill="1" applyBorder="1" applyAlignment="1" applyProtection="1">
      <alignment/>
      <protection/>
    </xf>
    <xf numFmtId="172" fontId="3" fillId="0" borderId="30" xfId="42" applyNumberFormat="1" applyFont="1" applyFill="1" applyBorder="1" applyAlignment="1" applyProtection="1">
      <alignment/>
      <protection/>
    </xf>
    <xf numFmtId="172" fontId="3" fillId="0" borderId="31" xfId="42" applyNumberFormat="1" applyFont="1" applyFill="1" applyBorder="1" applyAlignment="1" applyProtection="1">
      <alignment/>
      <protection/>
    </xf>
    <xf numFmtId="172" fontId="3" fillId="0" borderId="32" xfId="42" applyNumberFormat="1" applyFont="1" applyFill="1" applyBorder="1" applyAlignment="1" applyProtection="1">
      <alignment/>
      <protection/>
    </xf>
    <xf numFmtId="172" fontId="3" fillId="0" borderId="33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0" fontId="6" fillId="0" borderId="21" xfId="55" applyFont="1" applyBorder="1" applyAlignment="1">
      <alignment horizontal="left" vertical="top" wrapText="1"/>
      <protection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172" fontId="3" fillId="0" borderId="13" xfId="42" applyNumberFormat="1" applyFont="1" applyBorder="1" applyAlignment="1">
      <alignment/>
    </xf>
    <xf numFmtId="172" fontId="3" fillId="0" borderId="14" xfId="42" applyNumberFormat="1" applyFont="1" applyFill="1" applyBorder="1" applyAlignment="1" applyProtection="1">
      <alignment/>
      <protection/>
    </xf>
    <xf numFmtId="172" fontId="3" fillId="0" borderId="34" xfId="42" applyNumberFormat="1" applyFont="1" applyFill="1" applyBorder="1" applyAlignment="1" applyProtection="1">
      <alignment/>
      <protection/>
    </xf>
    <xf numFmtId="172" fontId="3" fillId="0" borderId="35" xfId="42" applyNumberFormat="1" applyFont="1" applyFill="1" applyBorder="1" applyAlignment="1" applyProtection="1">
      <alignment/>
      <protection/>
    </xf>
    <xf numFmtId="172" fontId="3" fillId="0" borderId="36" xfId="42" applyNumberFormat="1" applyFont="1" applyFill="1" applyBorder="1" applyAlignment="1" applyProtection="1">
      <alignment/>
      <protection/>
    </xf>
    <xf numFmtId="172" fontId="3" fillId="0" borderId="37" xfId="42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/>
    </xf>
    <xf numFmtId="172" fontId="3" fillId="0" borderId="38" xfId="42" applyNumberFormat="1" applyFont="1" applyFill="1" applyBorder="1" applyAlignment="1" applyProtection="1">
      <alignment/>
      <protection/>
    </xf>
    <xf numFmtId="172" fontId="3" fillId="0" borderId="39" xfId="42" applyNumberFormat="1" applyFont="1" applyFill="1" applyBorder="1" applyAlignment="1" applyProtection="1">
      <alignment/>
      <protection/>
    </xf>
    <xf numFmtId="172" fontId="3" fillId="0" borderId="40" xfId="42" applyNumberFormat="1" applyFont="1" applyFill="1" applyBorder="1" applyAlignment="1" applyProtection="1">
      <alignment/>
      <protection/>
    </xf>
    <xf numFmtId="0" fontId="4" fillId="0" borderId="41" xfId="55" applyFont="1" applyBorder="1" applyAlignment="1">
      <alignment vertical="top" wrapText="1"/>
      <protection/>
    </xf>
    <xf numFmtId="172" fontId="3" fillId="0" borderId="39" xfId="42" applyNumberFormat="1" applyFont="1" applyBorder="1" applyAlignment="1">
      <alignment/>
    </xf>
    <xf numFmtId="172" fontId="3" fillId="0" borderId="42" xfId="42" applyNumberFormat="1" applyFont="1" applyFill="1" applyBorder="1" applyAlignment="1" applyProtection="1">
      <alignment/>
      <protection/>
    </xf>
    <xf numFmtId="172" fontId="3" fillId="0" borderId="43" xfId="42" applyNumberFormat="1" applyFont="1" applyFill="1" applyBorder="1" applyAlignment="1" applyProtection="1">
      <alignment/>
      <protection/>
    </xf>
    <xf numFmtId="172" fontId="3" fillId="0" borderId="44" xfId="42" applyNumberFormat="1" applyFont="1" applyFill="1" applyBorder="1" applyAlignment="1" applyProtection="1">
      <alignment/>
      <protection/>
    </xf>
    <xf numFmtId="172" fontId="3" fillId="0" borderId="35" xfId="42" applyNumberFormat="1" applyFont="1" applyBorder="1" applyAlignment="1">
      <alignment/>
    </xf>
    <xf numFmtId="172" fontId="3" fillId="0" borderId="10" xfId="42" applyNumberFormat="1" applyFont="1" applyFill="1" applyBorder="1" applyAlignment="1" applyProtection="1">
      <alignment/>
      <protection/>
    </xf>
    <xf numFmtId="172" fontId="3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23" fillId="33" borderId="0" xfId="0" applyFont="1" applyFill="1" applyAlignment="1">
      <alignment/>
    </xf>
    <xf numFmtId="0" fontId="23" fillId="33" borderId="21" xfId="0" applyFont="1" applyFill="1" applyBorder="1" applyAlignment="1">
      <alignment/>
    </xf>
    <xf numFmtId="172" fontId="3" fillId="33" borderId="0" xfId="42" applyNumberFormat="1" applyFont="1" applyFill="1" applyBorder="1" applyAlignment="1">
      <alignment/>
    </xf>
    <xf numFmtId="172" fontId="3" fillId="33" borderId="22" xfId="42" applyNumberFormat="1" applyFont="1" applyFill="1" applyBorder="1" applyAlignment="1" applyProtection="1">
      <alignment/>
      <protection/>
    </xf>
    <xf numFmtId="172" fontId="3" fillId="33" borderId="23" xfId="42" applyNumberFormat="1" applyFont="1" applyFill="1" applyBorder="1" applyAlignment="1" applyProtection="1">
      <alignment/>
      <protection/>
    </xf>
    <xf numFmtId="172" fontId="3" fillId="33" borderId="0" xfId="42" applyNumberFormat="1" applyFont="1" applyFill="1" applyAlignment="1">
      <alignment/>
    </xf>
    <xf numFmtId="172" fontId="3" fillId="33" borderId="0" xfId="42" applyNumberFormat="1" applyFont="1" applyFill="1" applyBorder="1" applyAlignment="1" applyProtection="1">
      <alignment/>
      <protection/>
    </xf>
    <xf numFmtId="172" fontId="3" fillId="33" borderId="24" xfId="42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 wrapText="1" shrinkToFit="1"/>
    </xf>
    <xf numFmtId="0" fontId="2" fillId="0" borderId="21" xfId="0" applyFont="1" applyBorder="1" applyAlignment="1">
      <alignment/>
    </xf>
    <xf numFmtId="174" fontId="0" fillId="0" borderId="0" xfId="0" applyNumberFormat="1" applyFont="1" applyAlignment="1">
      <alignment/>
    </xf>
    <xf numFmtId="0" fontId="2" fillId="0" borderId="21" xfId="0" applyFont="1" applyBorder="1" applyAlignment="1">
      <alignment vertical="center" wrapText="1" shrinkToFit="1"/>
    </xf>
    <xf numFmtId="0" fontId="2" fillId="0" borderId="41" xfId="0" applyFont="1" applyBorder="1" applyAlignment="1">
      <alignment/>
    </xf>
    <xf numFmtId="172" fontId="3" fillId="0" borderId="45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vertical="center" wrapText="1" shrinkToFit="1"/>
    </xf>
    <xf numFmtId="172" fontId="3" fillId="0" borderId="13" xfId="42" applyNumberFormat="1" applyFont="1" applyBorder="1" applyAlignment="1">
      <alignment wrapText="1" shrinkToFit="1"/>
    </xf>
    <xf numFmtId="172" fontId="3" fillId="0" borderId="13" xfId="42" applyNumberFormat="1" applyFont="1" applyFill="1" applyBorder="1" applyAlignment="1" applyProtection="1">
      <alignment horizontal="right" wrapText="1" shrinkToFit="1"/>
      <protection/>
    </xf>
    <xf numFmtId="172" fontId="3" fillId="0" borderId="34" xfId="42" applyNumberFormat="1" applyFont="1" applyFill="1" applyBorder="1" applyAlignment="1" applyProtection="1">
      <alignment horizontal="right" wrapText="1" shrinkToFit="1"/>
      <protection/>
    </xf>
    <xf numFmtId="172" fontId="3" fillId="0" borderId="35" xfId="42" applyNumberFormat="1" applyFont="1" applyFill="1" applyBorder="1" applyAlignment="1" applyProtection="1">
      <alignment horizontal="right" wrapText="1" shrinkToFit="1"/>
      <protection/>
    </xf>
    <xf numFmtId="172" fontId="3" fillId="0" borderId="36" xfId="42" applyNumberFormat="1" applyFont="1" applyFill="1" applyBorder="1" applyAlignment="1" applyProtection="1">
      <alignment horizontal="right" wrapText="1" shrinkToFit="1"/>
      <protection/>
    </xf>
    <xf numFmtId="172" fontId="3" fillId="0" borderId="46" xfId="42" applyNumberFormat="1" applyFont="1" applyFill="1" applyBorder="1" applyAlignment="1" applyProtection="1">
      <alignment horizontal="right" wrapText="1" shrinkToFit="1"/>
      <protection/>
    </xf>
    <xf numFmtId="172" fontId="3" fillId="0" borderId="30" xfId="42" applyNumberFormat="1" applyFont="1" applyBorder="1" applyAlignment="1">
      <alignment/>
    </xf>
    <xf numFmtId="172" fontId="3" fillId="0" borderId="47" xfId="42" applyNumberFormat="1" applyFont="1" applyFill="1" applyBorder="1" applyAlignment="1" applyProtection="1">
      <alignment/>
      <protection/>
    </xf>
    <xf numFmtId="0" fontId="4" fillId="0" borderId="12" xfId="55" applyFont="1" applyBorder="1" applyAlignment="1">
      <alignment vertical="top" wrapText="1"/>
      <protection/>
    </xf>
    <xf numFmtId="172" fontId="3" fillId="0" borderId="13" xfId="42" applyNumberFormat="1" applyFont="1" applyFill="1" applyBorder="1" applyAlignment="1" applyProtection="1">
      <alignment/>
      <protection/>
    </xf>
    <xf numFmtId="172" fontId="3" fillId="0" borderId="46" xfId="42" applyNumberFormat="1" applyFont="1" applyFill="1" applyBorder="1" applyAlignment="1" applyProtection="1">
      <alignment/>
      <protection/>
    </xf>
    <xf numFmtId="0" fontId="4" fillId="0" borderId="21" xfId="55" applyFont="1" applyBorder="1" applyAlignment="1">
      <alignment vertical="top" wrapText="1"/>
      <protection/>
    </xf>
    <xf numFmtId="0" fontId="2" fillId="0" borderId="11" xfId="0" applyFont="1" applyBorder="1" applyAlignment="1">
      <alignment/>
    </xf>
    <xf numFmtId="172" fontId="3" fillId="0" borderId="48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172" fontId="3" fillId="0" borderId="49" xfId="42" applyNumberFormat="1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8" fillId="0" borderId="0" xfId="0" applyFont="1" applyAlignment="1">
      <alignment horizontal="center" vertical="center" wrapText="1" shrinkToFit="1"/>
    </xf>
    <xf numFmtId="0" fontId="6" fillId="0" borderId="0" xfId="55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172" fontId="2" fillId="0" borderId="29" xfId="42" applyNumberFormat="1" applyFont="1" applyFill="1" applyBorder="1" applyAlignment="1" applyProtection="1">
      <alignment vertical="top"/>
      <protection/>
    </xf>
    <xf numFmtId="172" fontId="2" fillId="0" borderId="20" xfId="42" applyNumberFormat="1" applyFont="1" applyFill="1" applyBorder="1" applyAlignment="1" applyProtection="1">
      <alignment vertical="top"/>
      <protection/>
    </xf>
    <xf numFmtId="172" fontId="2" fillId="0" borderId="30" xfId="42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72" fontId="6" fillId="0" borderId="32" xfId="42" applyNumberFormat="1" applyFont="1" applyFill="1" applyBorder="1" applyAlignment="1" applyProtection="1">
      <alignment vertical="top" wrapText="1"/>
      <protection/>
    </xf>
    <xf numFmtId="172" fontId="6" fillId="0" borderId="24" xfId="42" applyNumberFormat="1" applyFont="1" applyFill="1" applyBorder="1" applyAlignment="1" applyProtection="1">
      <alignment vertical="top" wrapText="1"/>
      <protection/>
    </xf>
    <xf numFmtId="172" fontId="1" fillId="0" borderId="24" xfId="42" applyNumberFormat="1" applyFont="1" applyFill="1" applyBorder="1" applyAlignment="1" applyProtection="1">
      <alignment vertical="top"/>
      <protection/>
    </xf>
    <xf numFmtId="172" fontId="1" fillId="0" borderId="0" xfId="42" applyNumberFormat="1" applyFont="1" applyFill="1" applyBorder="1" applyAlignment="1" applyProtection="1">
      <alignment vertical="top"/>
      <protection/>
    </xf>
    <xf numFmtId="172" fontId="1" fillId="0" borderId="24" xfId="42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>
      <alignment horizontal="center" vertical="top" wrapText="1"/>
    </xf>
    <xf numFmtId="172" fontId="6" fillId="0" borderId="34" xfId="42" applyNumberFormat="1" applyFont="1" applyFill="1" applyBorder="1" applyAlignment="1" applyProtection="1">
      <alignment vertical="top" wrapText="1"/>
      <protection/>
    </xf>
    <xf numFmtId="172" fontId="4" fillId="0" borderId="49" xfId="42" applyNumberFormat="1" applyFont="1" applyFill="1" applyBorder="1" applyAlignment="1" applyProtection="1">
      <alignment vertical="top" wrapText="1"/>
      <protection/>
    </xf>
    <xf numFmtId="172" fontId="1" fillId="0" borderId="49" xfId="42" applyNumberFormat="1" applyFont="1" applyFill="1" applyBorder="1" applyAlignment="1" applyProtection="1">
      <alignment vertical="top"/>
      <protection/>
    </xf>
    <xf numFmtId="172" fontId="1" fillId="0" borderId="35" xfId="42" applyNumberFormat="1" applyFont="1" applyFill="1" applyBorder="1" applyAlignment="1" applyProtection="1">
      <alignment vertical="top"/>
      <protection/>
    </xf>
    <xf numFmtId="172" fontId="1" fillId="0" borderId="49" xfId="42" applyNumberFormat="1" applyFont="1" applyFill="1" applyBorder="1" applyAlignment="1" applyProtection="1">
      <alignment/>
      <protection/>
    </xf>
    <xf numFmtId="172" fontId="4" fillId="0" borderId="29" xfId="42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72" fontId="4" fillId="0" borderId="52" xfId="42" applyNumberFormat="1" applyFont="1" applyFill="1" applyBorder="1" applyAlignment="1" applyProtection="1">
      <alignment vertical="top" wrapText="1"/>
      <protection/>
    </xf>
    <xf numFmtId="172" fontId="4" fillId="0" borderId="20" xfId="42" applyNumberFormat="1" applyFont="1" applyFill="1" applyBorder="1" applyAlignment="1" applyProtection="1">
      <alignment vertical="top" wrapText="1"/>
      <protection/>
    </xf>
    <xf numFmtId="172" fontId="2" fillId="0" borderId="53" xfId="42" applyNumberFormat="1" applyFont="1" applyFill="1" applyBorder="1" applyAlignment="1" applyProtection="1">
      <alignment vertical="top"/>
      <protection/>
    </xf>
    <xf numFmtId="0" fontId="11" fillId="0" borderId="21" xfId="0" applyFont="1" applyFill="1" applyBorder="1" applyAlignment="1">
      <alignment vertical="top" wrapText="1"/>
    </xf>
    <xf numFmtId="172" fontId="4" fillId="0" borderId="0" xfId="42" applyNumberFormat="1" applyFont="1" applyFill="1" applyBorder="1" applyAlignment="1" applyProtection="1">
      <alignment vertical="top" wrapText="1"/>
      <protection/>
    </xf>
    <xf numFmtId="172" fontId="4" fillId="0" borderId="32" xfId="42" applyNumberFormat="1" applyFont="1" applyFill="1" applyBorder="1" applyAlignment="1" applyProtection="1">
      <alignment vertical="top" wrapText="1"/>
      <protection/>
    </xf>
    <xf numFmtId="0" fontId="6" fillId="0" borderId="21" xfId="0" applyFont="1" applyFill="1" applyBorder="1" applyAlignment="1">
      <alignment vertical="top" wrapText="1"/>
    </xf>
    <xf numFmtId="172" fontId="6" fillId="0" borderId="0" xfId="42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 indent="4"/>
    </xf>
    <xf numFmtId="0" fontId="4" fillId="0" borderId="19" xfId="0" applyFont="1" applyFill="1" applyBorder="1" applyAlignment="1">
      <alignment horizontal="center" vertical="top" wrapText="1"/>
    </xf>
    <xf numFmtId="172" fontId="2" fillId="0" borderId="17" xfId="42" applyNumberFormat="1" applyFont="1" applyFill="1" applyBorder="1" applyAlignment="1" applyProtection="1">
      <alignment vertical="top"/>
      <protection/>
    </xf>
    <xf numFmtId="0" fontId="4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72" fontId="4" fillId="0" borderId="34" xfId="42" applyNumberFormat="1" applyFont="1" applyFill="1" applyBorder="1" applyAlignment="1" applyProtection="1">
      <alignment vertical="top" wrapText="1"/>
      <protection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72" fontId="2" fillId="0" borderId="26" xfId="42" applyNumberFormat="1" applyFont="1" applyFill="1" applyBorder="1" applyAlignment="1" applyProtection="1">
      <alignment/>
      <protection/>
    </xf>
    <xf numFmtId="172" fontId="2" fillId="0" borderId="13" xfId="42" applyNumberFormat="1" applyFont="1" applyFill="1" applyBorder="1" applyAlignment="1" applyProtection="1">
      <alignment/>
      <protection/>
    </xf>
    <xf numFmtId="172" fontId="2" fillId="0" borderId="34" xfId="42" applyNumberFormat="1" applyFont="1" applyFill="1" applyBorder="1" applyAlignment="1" applyProtection="1">
      <alignment/>
      <protection/>
    </xf>
    <xf numFmtId="172" fontId="2" fillId="0" borderId="49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21" xfId="55" applyFont="1" applyBorder="1" applyAlignment="1">
      <alignment vertical="top" wrapText="1"/>
      <protection/>
    </xf>
    <xf numFmtId="0" fontId="26" fillId="0" borderId="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/>
    </xf>
    <xf numFmtId="0" fontId="10" fillId="0" borderId="27" xfId="55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0" fontId="18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172" fontId="3" fillId="34" borderId="22" xfId="42" applyNumberFormat="1" applyFont="1" applyFill="1" applyBorder="1" applyAlignment="1" applyProtection="1">
      <alignment/>
      <protection/>
    </xf>
    <xf numFmtId="172" fontId="3" fillId="0" borderId="0" xfId="42" applyNumberFormat="1" applyFont="1" applyFill="1" applyBorder="1" applyAlignment="1" applyProtection="1">
      <alignment horizontal="right" wrapText="1" shrinkToFit="1"/>
      <protection/>
    </xf>
    <xf numFmtId="171" fontId="0" fillId="0" borderId="0" xfId="0" applyNumberFormat="1" applyFont="1" applyAlignment="1">
      <alignment/>
    </xf>
    <xf numFmtId="171" fontId="23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72" fontId="3" fillId="0" borderId="25" xfId="42" applyNumberFormat="1" applyFont="1" applyFill="1" applyBorder="1" applyAlignment="1">
      <alignment/>
    </xf>
    <xf numFmtId="172" fontId="3" fillId="0" borderId="10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3" fillId="0" borderId="17" xfId="42" applyNumberFormat="1" applyFont="1" applyFill="1" applyBorder="1" applyAlignment="1">
      <alignment/>
    </xf>
    <xf numFmtId="172" fontId="3" fillId="0" borderId="24" xfId="42" applyNumberFormat="1" applyFont="1" applyFill="1" applyBorder="1" applyAlignment="1">
      <alignment/>
    </xf>
    <xf numFmtId="0" fontId="6" fillId="0" borderId="21" xfId="55" applyFont="1" applyFill="1" applyBorder="1" applyAlignment="1">
      <alignment vertical="top" wrapText="1"/>
      <protection/>
    </xf>
    <xf numFmtId="172" fontId="3" fillId="0" borderId="0" xfId="42" applyNumberFormat="1" applyFont="1" applyFill="1" applyBorder="1" applyAlignment="1">
      <alignment/>
    </xf>
    <xf numFmtId="0" fontId="6" fillId="0" borderId="21" xfId="55" applyFont="1" applyFill="1" applyBorder="1" applyAlignment="1">
      <alignment horizontal="left" vertical="top" wrapText="1"/>
      <protection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3" fillId="0" borderId="13" xfId="42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41" xfId="55" applyFont="1" applyFill="1" applyBorder="1" applyAlignment="1">
      <alignment vertical="top" wrapText="1"/>
      <protection/>
    </xf>
    <xf numFmtId="172" fontId="3" fillId="0" borderId="39" xfId="42" applyNumberFormat="1" applyFont="1" applyFill="1" applyBorder="1" applyAlignment="1">
      <alignment/>
    </xf>
    <xf numFmtId="172" fontId="3" fillId="0" borderId="35" xfId="42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 shrinkToFit="1"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 shrinkToFit="1"/>
    </xf>
    <xf numFmtId="172" fontId="3" fillId="0" borderId="13" xfId="42" applyNumberFormat="1" applyFont="1" applyFill="1" applyBorder="1" applyAlignment="1">
      <alignment wrapText="1" shrinkToFit="1"/>
    </xf>
    <xf numFmtId="172" fontId="3" fillId="0" borderId="30" xfId="42" applyNumberFormat="1" applyFont="1" applyFill="1" applyBorder="1" applyAlignment="1">
      <alignment/>
    </xf>
    <xf numFmtId="0" fontId="4" fillId="0" borderId="12" xfId="55" applyFont="1" applyFill="1" applyBorder="1" applyAlignment="1">
      <alignment vertical="top" wrapText="1"/>
      <protection/>
    </xf>
    <xf numFmtId="0" fontId="4" fillId="0" borderId="21" xfId="55" applyFont="1" applyFill="1" applyBorder="1" applyAlignment="1">
      <alignment vertical="top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8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30" fillId="35" borderId="0" xfId="0" applyFont="1" applyFill="1" applyAlignment="1">
      <alignment wrapText="1"/>
    </xf>
    <xf numFmtId="171" fontId="30" fillId="36" borderId="0" xfId="0" applyNumberFormat="1" applyFont="1" applyFill="1" applyAlignment="1">
      <alignment/>
    </xf>
    <xf numFmtId="171" fontId="30" fillId="35" borderId="0" xfId="0" applyNumberFormat="1" applyFont="1" applyFill="1" applyAlignment="1">
      <alignment/>
    </xf>
    <xf numFmtId="171" fontId="14" fillId="36" borderId="0" xfId="0" applyNumberFormat="1" applyFont="1" applyFill="1" applyAlignment="1">
      <alignment/>
    </xf>
    <xf numFmtId="171" fontId="14" fillId="35" borderId="0" xfId="0" applyNumberFormat="1" applyFont="1" applyFill="1" applyAlignment="1">
      <alignment/>
    </xf>
    <xf numFmtId="175" fontId="30" fillId="35" borderId="0" xfId="0" applyNumberFormat="1" applyFont="1" applyFill="1" applyAlignment="1">
      <alignment/>
    </xf>
    <xf numFmtId="172" fontId="2" fillId="0" borderId="10" xfId="42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172" fontId="1" fillId="0" borderId="33" xfId="42" applyNumberFormat="1" applyFont="1" applyFill="1" applyBorder="1" applyAlignment="1" applyProtection="1">
      <alignment vertical="top"/>
      <protection/>
    </xf>
    <xf numFmtId="172" fontId="1" fillId="0" borderId="36" xfId="42" applyNumberFormat="1" applyFont="1" applyFill="1" applyBorder="1" applyAlignment="1" applyProtection="1">
      <alignment vertical="top"/>
      <protection/>
    </xf>
    <xf numFmtId="172" fontId="2" fillId="0" borderId="31" xfId="42" applyNumberFormat="1" applyFont="1" applyFill="1" applyBorder="1" applyAlignment="1" applyProtection="1">
      <alignment vertical="top"/>
      <protection/>
    </xf>
    <xf numFmtId="172" fontId="1" fillId="0" borderId="54" xfId="42" applyNumberFormat="1" applyFont="1" applyFill="1" applyBorder="1" applyAlignment="1" applyProtection="1">
      <alignment vertical="top"/>
      <protection/>
    </xf>
    <xf numFmtId="172" fontId="2" fillId="0" borderId="24" xfId="42" applyNumberFormat="1" applyFont="1" applyFill="1" applyBorder="1" applyAlignment="1" applyProtection="1">
      <alignment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172" fontId="3" fillId="0" borderId="23" xfId="42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 applyProtection="1">
      <alignment horizontal="center" vertical="center" wrapText="1"/>
      <protection/>
    </xf>
    <xf numFmtId="172" fontId="3" fillId="0" borderId="0" xfId="42" applyNumberFormat="1" applyFont="1" applyFill="1" applyBorder="1" applyAlignment="1" applyProtection="1">
      <alignment horizontal="center" vertical="center" wrapText="1"/>
      <protection/>
    </xf>
    <xf numFmtId="172" fontId="3" fillId="0" borderId="0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172" fontId="1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>
      <alignment horizontal="center" wrapText="1"/>
    </xf>
    <xf numFmtId="172" fontId="26" fillId="0" borderId="11" xfId="42" applyNumberFormat="1" applyFont="1" applyFill="1" applyBorder="1" applyAlignment="1" applyProtection="1">
      <alignment horizontal="center" vertical="center" wrapText="1" shrinkToFit="1"/>
      <protection/>
    </xf>
    <xf numFmtId="174" fontId="26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172" fontId="27" fillId="0" borderId="11" xfId="42" applyNumberFormat="1" applyFont="1" applyFill="1" applyBorder="1" applyAlignment="1" applyProtection="1">
      <alignment horizontal="center" vertical="center" wrapText="1" shrinkToFit="1"/>
      <protection/>
    </xf>
    <xf numFmtId="174" fontId="19" fillId="0" borderId="11" xfId="42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172" fontId="1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34">
      <selection activeCell="I11" sqref="I11"/>
    </sheetView>
  </sheetViews>
  <sheetFormatPr defaultColWidth="12.57421875" defaultRowHeight="15"/>
  <cols>
    <col min="1" max="1" width="5.140625" style="3" customWidth="1"/>
    <col min="2" max="2" width="33.57421875" style="3" customWidth="1"/>
    <col min="3" max="3" width="9.8515625" style="3" hidden="1" customWidth="1"/>
    <col min="4" max="4" width="10.28125" style="3" hidden="1" customWidth="1"/>
    <col min="5" max="6" width="10.28125" style="3" customWidth="1"/>
    <col min="7" max="7" width="11.57421875" style="3" customWidth="1"/>
    <col min="8" max="8" width="12.140625" style="3" customWidth="1"/>
    <col min="9" max="9" width="10.57421875" style="3" customWidth="1"/>
    <col min="10" max="10" width="10.140625" style="3" customWidth="1"/>
    <col min="11" max="11" width="10.00390625" style="3" customWidth="1"/>
    <col min="12" max="12" width="13.7109375" style="3" customWidth="1"/>
    <col min="13" max="13" width="12.57421875" style="3" customWidth="1"/>
    <col min="14" max="15" width="13.57421875" style="261" customWidth="1"/>
    <col min="16" max="16" width="12.28125" style="3" customWidth="1"/>
    <col min="17" max="16384" width="12.57421875" style="3" customWidth="1"/>
  </cols>
  <sheetData>
    <row r="1" spans="1:12" ht="15.75">
      <c r="A1" s="1"/>
      <c r="B1" s="2" t="s">
        <v>147</v>
      </c>
      <c r="H1" s="4"/>
      <c r="J1"/>
      <c r="K1"/>
      <c r="L1" s="2" t="s">
        <v>0</v>
      </c>
    </row>
    <row r="2" spans="1:12" ht="15.75">
      <c r="A2" s="5"/>
      <c r="B2" s="275" t="s">
        <v>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5.75">
      <c r="A3" s="5"/>
      <c r="B3" s="275" t="s">
        <v>2</v>
      </c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2:12" ht="15.75">
      <c r="B4" s="277" t="s">
        <v>3</v>
      </c>
      <c r="C4" s="277"/>
      <c r="D4" s="277"/>
      <c r="E4" s="277"/>
      <c r="F4" s="277"/>
      <c r="G4" s="277"/>
      <c r="H4" s="277"/>
      <c r="I4" s="277"/>
      <c r="J4" s="277"/>
      <c r="K4" s="278"/>
      <c r="L4" s="6"/>
    </row>
    <row r="5" spans="2:15" ht="75.75" customHeight="1">
      <c r="B5" s="7" t="s">
        <v>4</v>
      </c>
      <c r="C5" s="279" t="s">
        <v>5</v>
      </c>
      <c r="D5" s="279"/>
      <c r="E5" s="279" t="s">
        <v>141</v>
      </c>
      <c r="F5" s="279"/>
      <c r="G5" s="279" t="s">
        <v>135</v>
      </c>
      <c r="H5" s="279"/>
      <c r="I5" s="280" t="s">
        <v>136</v>
      </c>
      <c r="J5" s="280"/>
      <c r="K5" s="281"/>
      <c r="L5" s="8" t="s">
        <v>137</v>
      </c>
      <c r="N5" s="262" t="s">
        <v>139</v>
      </c>
      <c r="O5" s="262" t="s">
        <v>140</v>
      </c>
    </row>
    <row r="6" spans="2:12" ht="15.75">
      <c r="B6" s="9"/>
      <c r="C6" s="10" t="s">
        <v>6</v>
      </c>
      <c r="D6" s="11" t="s">
        <v>7</v>
      </c>
      <c r="E6" s="10" t="s">
        <v>6</v>
      </c>
      <c r="F6" s="11" t="s">
        <v>7</v>
      </c>
      <c r="G6" s="12" t="s">
        <v>6</v>
      </c>
      <c r="H6" s="11" t="s">
        <v>7</v>
      </c>
      <c r="I6" s="12" t="s">
        <v>8</v>
      </c>
      <c r="J6" s="13" t="s">
        <v>7</v>
      </c>
      <c r="K6" s="10" t="s">
        <v>9</v>
      </c>
      <c r="L6" s="6"/>
    </row>
    <row r="7" spans="2:12" ht="15.75">
      <c r="B7" s="14" t="s">
        <v>10</v>
      </c>
      <c r="C7" s="15"/>
      <c r="D7" s="16"/>
      <c r="E7" s="15"/>
      <c r="F7" s="15"/>
      <c r="G7" s="17"/>
      <c r="H7" s="16"/>
      <c r="I7" s="17"/>
      <c r="J7" s="15"/>
      <c r="K7" s="15"/>
      <c r="L7" s="18"/>
    </row>
    <row r="8" spans="2:12" ht="15.75">
      <c r="B8" s="19" t="s">
        <v>11</v>
      </c>
      <c r="C8" s="20"/>
      <c r="D8" s="21"/>
      <c r="E8" s="20"/>
      <c r="F8" s="20"/>
      <c r="G8" s="22"/>
      <c r="H8" s="21"/>
      <c r="I8" s="22"/>
      <c r="J8" s="20"/>
      <c r="K8" s="20"/>
      <c r="L8" s="23"/>
    </row>
    <row r="9" spans="2:12" ht="15.75">
      <c r="B9" s="24" t="s">
        <v>12</v>
      </c>
      <c r="C9" s="25"/>
      <c r="D9" s="26">
        <v>501.64</v>
      </c>
      <c r="E9" s="28"/>
      <c r="F9" s="28">
        <f>D59</f>
        <v>176.38</v>
      </c>
      <c r="G9" s="27"/>
      <c r="H9" s="26">
        <v>501.64</v>
      </c>
      <c r="I9" s="27"/>
      <c r="J9" s="28">
        <v>166.79</v>
      </c>
      <c r="K9" s="28"/>
      <c r="L9" s="29"/>
    </row>
    <row r="10" spans="2:12" ht="15.75">
      <c r="B10" s="24" t="s">
        <v>13</v>
      </c>
      <c r="C10" s="25"/>
      <c r="D10" s="26">
        <v>0</v>
      </c>
      <c r="E10" s="28"/>
      <c r="F10" s="28">
        <v>0</v>
      </c>
      <c r="G10" s="27"/>
      <c r="H10" s="26">
        <f>F10</f>
        <v>0</v>
      </c>
      <c r="I10" s="27"/>
      <c r="J10" s="28">
        <f>H10</f>
        <v>0</v>
      </c>
      <c r="K10" s="28"/>
      <c r="L10" s="29"/>
    </row>
    <row r="11" spans="2:12" ht="15.75">
      <c r="B11" s="30" t="s">
        <v>14</v>
      </c>
      <c r="C11" s="25"/>
      <c r="D11" s="26">
        <v>18662.79</v>
      </c>
      <c r="E11" s="28"/>
      <c r="F11" s="28">
        <f>D57</f>
        <v>18554.8</v>
      </c>
      <c r="G11" s="27"/>
      <c r="H11" s="26">
        <v>18662.79</v>
      </c>
      <c r="I11" s="27"/>
      <c r="J11" s="28">
        <v>4130.03</v>
      </c>
      <c r="K11" s="28"/>
      <c r="L11" s="29"/>
    </row>
    <row r="12" spans="2:12" ht="15.75">
      <c r="B12" s="30" t="s">
        <v>15</v>
      </c>
      <c r="C12" s="25"/>
      <c r="D12" s="26">
        <v>2857.02</v>
      </c>
      <c r="E12" s="28"/>
      <c r="F12" s="28">
        <f>D58</f>
        <v>2821.51</v>
      </c>
      <c r="G12" s="27"/>
      <c r="H12" s="26">
        <v>2857.02</v>
      </c>
      <c r="I12" s="27"/>
      <c r="J12" s="28" t="s">
        <v>16</v>
      </c>
      <c r="K12" s="28"/>
      <c r="L12" s="29"/>
    </row>
    <row r="13" spans="2:12" ht="15.75">
      <c r="B13" s="30" t="s">
        <v>17</v>
      </c>
      <c r="C13" s="25"/>
      <c r="D13" s="26">
        <v>137.65</v>
      </c>
      <c r="E13" s="28"/>
      <c r="F13" s="28">
        <f>D60</f>
        <v>1192.39</v>
      </c>
      <c r="G13" s="27"/>
      <c r="H13" s="26">
        <v>137.65</v>
      </c>
      <c r="I13" s="27"/>
      <c r="J13" s="28">
        <v>504.13</v>
      </c>
      <c r="K13" s="28"/>
      <c r="L13" s="29"/>
    </row>
    <row r="14" spans="1:15" s="2" customFormat="1" ht="15.75">
      <c r="A14" s="229"/>
      <c r="B14" s="230" t="s">
        <v>18</v>
      </c>
      <c r="C14" s="231"/>
      <c r="D14" s="33">
        <f>SUM(D9:D13)</f>
        <v>22159.100000000002</v>
      </c>
      <c r="E14" s="35"/>
      <c r="F14" s="35">
        <f>SUM(F9:F13)</f>
        <v>22745.08</v>
      </c>
      <c r="G14" s="34"/>
      <c r="H14" s="35">
        <f>SUM(H9:H13)</f>
        <v>22159.100000000002</v>
      </c>
      <c r="I14" s="35">
        <f>SUM(I9:I13)</f>
        <v>0</v>
      </c>
      <c r="J14" s="35">
        <f>SUM(J9:J13)</f>
        <v>4800.95</v>
      </c>
      <c r="K14" s="36"/>
      <c r="L14" s="232"/>
      <c r="N14" s="260"/>
      <c r="O14" s="260"/>
    </row>
    <row r="15" spans="1:12" ht="15.75">
      <c r="A15" s="121"/>
      <c r="B15" s="233" t="s">
        <v>19</v>
      </c>
      <c r="C15" s="234"/>
      <c r="D15" s="40"/>
      <c r="E15" s="42"/>
      <c r="F15" s="42"/>
      <c r="G15" s="41"/>
      <c r="H15" s="42">
        <f>D15</f>
        <v>0</v>
      </c>
      <c r="I15" s="43"/>
      <c r="J15" s="44"/>
      <c r="K15" s="45"/>
      <c r="L15" s="235"/>
    </row>
    <row r="16" spans="1:18" ht="15.75">
      <c r="A16" s="121"/>
      <c r="B16" s="236" t="s">
        <v>20</v>
      </c>
      <c r="C16" s="237"/>
      <c r="D16" s="26">
        <v>79.75</v>
      </c>
      <c r="E16" s="28"/>
      <c r="F16" s="28">
        <v>0.22</v>
      </c>
      <c r="G16" s="27"/>
      <c r="H16" s="28">
        <f aca="true" t="shared" si="0" ref="H16:H23">D16+F16</f>
        <v>79.97</v>
      </c>
      <c r="I16" s="46"/>
      <c r="J16" s="237">
        <f>307.94</f>
        <v>307.94</v>
      </c>
      <c r="K16" s="47"/>
      <c r="L16" s="48">
        <f>27622.98</f>
        <v>27622.98</v>
      </c>
      <c r="N16" s="263">
        <v>228.19</v>
      </c>
      <c r="O16" s="263">
        <v>27543.23</v>
      </c>
      <c r="Q16" s="227"/>
      <c r="R16" s="227"/>
    </row>
    <row r="17" spans="1:18" ht="25.5">
      <c r="A17" s="121"/>
      <c r="B17" s="236" t="s">
        <v>21</v>
      </c>
      <c r="C17" s="237"/>
      <c r="D17" s="26">
        <v>14</v>
      </c>
      <c r="E17" s="28"/>
      <c r="F17" s="28">
        <v>0</v>
      </c>
      <c r="G17" s="27"/>
      <c r="H17" s="28">
        <f t="shared" si="0"/>
        <v>14</v>
      </c>
      <c r="I17" s="46"/>
      <c r="J17" s="237">
        <f>N17+D17+F17</f>
        <v>15320.14</v>
      </c>
      <c r="K17" s="47"/>
      <c r="L17" s="48">
        <f>O17+D17+F17</f>
        <v>32134.09</v>
      </c>
      <c r="N17" s="263">
        <v>15306.14</v>
      </c>
      <c r="O17" s="263">
        <v>32120.09</v>
      </c>
      <c r="Q17" s="227"/>
      <c r="R17" s="227"/>
    </row>
    <row r="18" spans="1:18" ht="16.5" customHeight="1">
      <c r="A18" s="121"/>
      <c r="B18" s="238" t="s">
        <v>22</v>
      </c>
      <c r="C18" s="237"/>
      <c r="D18" s="26">
        <v>2500</v>
      </c>
      <c r="E18" s="28"/>
      <c r="F18" s="28">
        <v>0</v>
      </c>
      <c r="G18" s="27"/>
      <c r="H18" s="28">
        <f t="shared" si="0"/>
        <v>2500</v>
      </c>
      <c r="I18" s="46"/>
      <c r="J18" s="237">
        <f>N18+D18+F18</f>
        <v>2500</v>
      </c>
      <c r="K18" s="47"/>
      <c r="L18" s="48">
        <f>O18+D18+F18</f>
        <v>2500</v>
      </c>
      <c r="N18" s="263">
        <v>0</v>
      </c>
      <c r="O18" s="263">
        <v>0</v>
      </c>
      <c r="Q18" s="227"/>
      <c r="R18" s="227"/>
    </row>
    <row r="19" spans="1:18" ht="25.5">
      <c r="A19" s="121"/>
      <c r="B19" s="236" t="s">
        <v>23</v>
      </c>
      <c r="C19" s="237"/>
      <c r="D19" s="26">
        <v>1000</v>
      </c>
      <c r="E19" s="28"/>
      <c r="F19" s="28">
        <v>0</v>
      </c>
      <c r="G19" s="27"/>
      <c r="H19" s="28">
        <f t="shared" si="0"/>
        <v>1000</v>
      </c>
      <c r="I19" s="46"/>
      <c r="J19" s="237">
        <f>N19+D19+F19</f>
        <v>7939.73</v>
      </c>
      <c r="K19" s="47"/>
      <c r="L19" s="48">
        <f>O19+D19+F19</f>
        <v>11198.46</v>
      </c>
      <c r="N19" s="263">
        <v>6939.73</v>
      </c>
      <c r="O19" s="263">
        <v>10198.46</v>
      </c>
      <c r="Q19" s="227"/>
      <c r="R19" s="227"/>
    </row>
    <row r="20" spans="1:18" ht="25.5">
      <c r="A20" s="121"/>
      <c r="B20" s="236" t="s">
        <v>24</v>
      </c>
      <c r="C20" s="237"/>
      <c r="D20" s="26">
        <v>1747.67</v>
      </c>
      <c r="E20" s="28"/>
      <c r="F20" s="28">
        <v>1480.07</v>
      </c>
      <c r="G20" s="27"/>
      <c r="H20" s="28">
        <f t="shared" si="0"/>
        <v>3227.74</v>
      </c>
      <c r="I20" s="46"/>
      <c r="J20" s="237">
        <f>4114.66+F20</f>
        <v>5594.73</v>
      </c>
      <c r="K20" s="47"/>
      <c r="L20" s="48">
        <f>14744.88+F20</f>
        <v>16224.949999999999</v>
      </c>
      <c r="N20" s="263">
        <v>3847.06</v>
      </c>
      <c r="O20" s="263">
        <v>14477.28</v>
      </c>
      <c r="Q20" s="227"/>
      <c r="R20" s="227"/>
    </row>
    <row r="21" spans="1:18" ht="15.75">
      <c r="A21" s="121"/>
      <c r="B21" s="239" t="s">
        <v>25</v>
      </c>
      <c r="C21" s="237"/>
      <c r="D21" s="26"/>
      <c r="E21" s="28"/>
      <c r="F21" s="28"/>
      <c r="G21" s="27"/>
      <c r="H21" s="28"/>
      <c r="I21" s="46"/>
      <c r="J21" s="237"/>
      <c r="K21" s="47"/>
      <c r="L21" s="48"/>
      <c r="N21" s="263"/>
      <c r="O21" s="263"/>
      <c r="Q21" s="227"/>
      <c r="R21" s="227"/>
    </row>
    <row r="22" spans="1:18" ht="13.5" customHeight="1">
      <c r="A22" s="121"/>
      <c r="B22" s="236" t="s">
        <v>26</v>
      </c>
      <c r="C22" s="237"/>
      <c r="D22" s="26">
        <v>0.08</v>
      </c>
      <c r="E22" s="28"/>
      <c r="F22" s="28">
        <v>18.4</v>
      </c>
      <c r="G22" s="27"/>
      <c r="H22" s="28">
        <f t="shared" si="0"/>
        <v>18.479999999999997</v>
      </c>
      <c r="I22" s="46"/>
      <c r="J22" s="237">
        <f>18.4+24.89</f>
        <v>43.29</v>
      </c>
      <c r="K22" s="47"/>
      <c r="L22" s="48">
        <f>36.64+18.4</f>
        <v>55.04</v>
      </c>
      <c r="M22" s="3">
        <f>24.89+18.4</f>
        <v>43.29</v>
      </c>
      <c r="N22" s="263">
        <v>43.21</v>
      </c>
      <c r="O22" s="263">
        <v>54.96</v>
      </c>
      <c r="Q22" s="227"/>
      <c r="R22" s="227"/>
    </row>
    <row r="23" spans="1:18" ht="13.5" customHeight="1">
      <c r="A23" s="121"/>
      <c r="B23" s="236" t="s">
        <v>27</v>
      </c>
      <c r="C23" s="237"/>
      <c r="D23" s="26">
        <v>14.4</v>
      </c>
      <c r="E23" s="28"/>
      <c r="F23" s="28">
        <v>4.53</v>
      </c>
      <c r="G23" s="27"/>
      <c r="H23" s="28">
        <f t="shared" si="0"/>
        <v>18.93</v>
      </c>
      <c r="I23" s="46"/>
      <c r="J23" s="237">
        <f>14.4+4.53</f>
        <v>18.93</v>
      </c>
      <c r="K23" s="47"/>
      <c r="L23" s="48">
        <f>69.87+4.53</f>
        <v>74.4</v>
      </c>
      <c r="N23" s="263">
        <v>4.53</v>
      </c>
      <c r="O23" s="263">
        <v>60</v>
      </c>
      <c r="Q23" s="227"/>
      <c r="R23" s="227"/>
    </row>
    <row r="24" spans="1:18" ht="15.75">
      <c r="A24" s="121"/>
      <c r="B24" s="240" t="s">
        <v>28</v>
      </c>
      <c r="C24" s="241"/>
      <c r="D24" s="53">
        <f>SUM(D16:D23)</f>
        <v>5355.9</v>
      </c>
      <c r="E24" s="28"/>
      <c r="F24" s="28">
        <f>SUM(F16:F23)</f>
        <v>1503.22</v>
      </c>
      <c r="G24" s="27"/>
      <c r="H24" s="28">
        <f>SUM(H15:H23)</f>
        <v>6859.119999999999</v>
      </c>
      <c r="I24" s="54">
        <f>SUM(I15:I23)</f>
        <v>0</v>
      </c>
      <c r="J24" s="237">
        <f>SUM(J16:J23)</f>
        <v>31724.760000000002</v>
      </c>
      <c r="K24" s="56"/>
      <c r="L24" s="48">
        <f>SUM(L16:L23)</f>
        <v>89809.91999999998</v>
      </c>
      <c r="N24" s="263">
        <v>26368.86</v>
      </c>
      <c r="O24" s="263">
        <v>84454.02</v>
      </c>
      <c r="Q24" s="227"/>
      <c r="R24" s="227"/>
    </row>
    <row r="25" spans="1:18" ht="15.75">
      <c r="A25" s="121"/>
      <c r="B25" s="242" t="s">
        <v>29</v>
      </c>
      <c r="C25" s="234"/>
      <c r="D25" s="42">
        <f>D14+D24</f>
        <v>27515</v>
      </c>
      <c r="E25" s="59"/>
      <c r="F25" s="36">
        <f>F14+F24</f>
        <v>24248.300000000003</v>
      </c>
      <c r="G25" s="59"/>
      <c r="H25" s="36">
        <f>H14+H24</f>
        <v>29018.22</v>
      </c>
      <c r="I25" s="59">
        <f>I14+I24</f>
        <v>0</v>
      </c>
      <c r="J25" s="60">
        <f>J14+J24</f>
        <v>36525.71</v>
      </c>
      <c r="K25" s="36"/>
      <c r="L25" s="61">
        <f>L24</f>
        <v>89809.91999999998</v>
      </c>
      <c r="N25" s="264">
        <v>9010.71</v>
      </c>
      <c r="O25" s="264">
        <v>62294.92</v>
      </c>
      <c r="Q25" s="227"/>
      <c r="R25" s="227"/>
    </row>
    <row r="26" spans="1:17" ht="15.75">
      <c r="A26" s="121"/>
      <c r="B26" s="243" t="s">
        <v>30</v>
      </c>
      <c r="C26" s="244"/>
      <c r="D26" s="64"/>
      <c r="E26" s="55"/>
      <c r="F26" s="55"/>
      <c r="G26" s="65"/>
      <c r="H26" s="66"/>
      <c r="I26" s="65"/>
      <c r="J26" s="245"/>
      <c r="K26" s="55"/>
      <c r="L26" s="68"/>
      <c r="N26" s="264">
        <f>J26-D26</f>
        <v>0</v>
      </c>
      <c r="O26" s="264">
        <f>L26-D26</f>
        <v>0</v>
      </c>
      <c r="Q26" s="227"/>
    </row>
    <row r="27" spans="1:15" ht="15.75">
      <c r="A27" s="121"/>
      <c r="B27" s="239" t="s">
        <v>31</v>
      </c>
      <c r="C27" s="237"/>
      <c r="D27" s="26"/>
      <c r="E27" s="28"/>
      <c r="F27" s="28"/>
      <c r="G27" s="27"/>
      <c r="H27" s="26"/>
      <c r="I27" s="27"/>
      <c r="J27" s="237"/>
      <c r="K27" s="28"/>
      <c r="L27" s="48"/>
      <c r="N27" s="264">
        <f>J27-D27</f>
        <v>0</v>
      </c>
      <c r="O27" s="264">
        <f>L27-D27</f>
        <v>0</v>
      </c>
    </row>
    <row r="28" spans="1:15" ht="15.75">
      <c r="A28" s="121"/>
      <c r="B28" s="246" t="s">
        <v>32</v>
      </c>
      <c r="C28" s="237"/>
      <c r="D28" s="26"/>
      <c r="E28" s="28"/>
      <c r="F28" s="28"/>
      <c r="G28" s="27"/>
      <c r="H28" s="26"/>
      <c r="I28" s="27"/>
      <c r="J28" s="237"/>
      <c r="K28" s="28"/>
      <c r="L28" s="48"/>
      <c r="N28" s="264">
        <f>J28-D28</f>
        <v>0</v>
      </c>
      <c r="O28" s="264">
        <f>L28-D28</f>
        <v>0</v>
      </c>
    </row>
    <row r="29" spans="1:17" s="71" customFormat="1" ht="15.75">
      <c r="A29" s="247"/>
      <c r="B29" s="248" t="s">
        <v>33</v>
      </c>
      <c r="C29" s="237">
        <f>G29/4</f>
        <v>1323.25</v>
      </c>
      <c r="D29" s="26">
        <v>79.75</v>
      </c>
      <c r="E29" s="27">
        <v>5293</v>
      </c>
      <c r="F29" s="28">
        <v>0.22</v>
      </c>
      <c r="G29" s="27">
        <v>5293</v>
      </c>
      <c r="H29" s="26">
        <f>79.75+F29</f>
        <v>79.97</v>
      </c>
      <c r="I29" s="27">
        <v>5442</v>
      </c>
      <c r="J29" s="237">
        <f>307.72+F29</f>
        <v>307.94000000000005</v>
      </c>
      <c r="K29" s="28">
        <f aca="true" t="shared" si="1" ref="K29:K41">I29-J29</f>
        <v>5134.0599999999995</v>
      </c>
      <c r="L29" s="235">
        <f>O29+D29+F29</f>
        <v>26601.68</v>
      </c>
      <c r="M29" s="3"/>
      <c r="N29" s="263">
        <v>227.97</v>
      </c>
      <c r="O29" s="263">
        <v>26521.71</v>
      </c>
      <c r="P29" s="228"/>
      <c r="Q29" s="228"/>
    </row>
    <row r="30" spans="1:17" ht="15.75">
      <c r="A30" s="121"/>
      <c r="B30" s="246" t="s">
        <v>34</v>
      </c>
      <c r="C30" s="237"/>
      <c r="D30" s="26"/>
      <c r="E30" s="28"/>
      <c r="F30" s="28"/>
      <c r="G30" s="27"/>
      <c r="H30" s="26">
        <f aca="true" t="shared" si="2" ref="H30:H40">D30</f>
        <v>0</v>
      </c>
      <c r="I30" s="27"/>
      <c r="J30" s="237">
        <f>N30+D30+F30</f>
        <v>0</v>
      </c>
      <c r="K30" s="28">
        <f t="shared" si="1"/>
        <v>0</v>
      </c>
      <c r="L30" s="235">
        <f>O30+D30+F30</f>
        <v>0</v>
      </c>
      <c r="N30" s="265">
        <v>0</v>
      </c>
      <c r="O30" s="263">
        <v>0</v>
      </c>
      <c r="P30" s="228"/>
      <c r="Q30" s="228"/>
    </row>
    <row r="31" spans="1:17" ht="15.75">
      <c r="A31" s="121"/>
      <c r="B31" s="236" t="s">
        <v>35</v>
      </c>
      <c r="C31" s="237">
        <f>G31/4</f>
        <v>0</v>
      </c>
      <c r="D31" s="26">
        <v>107.63</v>
      </c>
      <c r="E31" s="28"/>
      <c r="F31" s="28">
        <v>208.05</v>
      </c>
      <c r="G31" s="27"/>
      <c r="H31" s="26">
        <f>107.63+F31</f>
        <v>315.68</v>
      </c>
      <c r="I31" s="27">
        <v>12666.9</v>
      </c>
      <c r="J31" s="237">
        <f>N31+D31+F31</f>
        <v>1105.58</v>
      </c>
      <c r="K31" s="28">
        <f t="shared" si="1"/>
        <v>11561.32</v>
      </c>
      <c r="L31" s="235">
        <f>O31+D31+F31</f>
        <v>12149.139999999998</v>
      </c>
      <c r="N31" s="265">
        <v>789.9</v>
      </c>
      <c r="O31" s="263">
        <v>11833.46</v>
      </c>
      <c r="P31" s="228"/>
      <c r="Q31" s="228"/>
    </row>
    <row r="32" spans="1:17" ht="15.75">
      <c r="A32" s="121"/>
      <c r="B32" s="236" t="s">
        <v>36</v>
      </c>
      <c r="C32" s="237"/>
      <c r="D32" s="26"/>
      <c r="E32" s="28"/>
      <c r="F32" s="28"/>
      <c r="G32" s="27"/>
      <c r="H32" s="26">
        <f t="shared" si="2"/>
        <v>0</v>
      </c>
      <c r="I32" s="27">
        <v>1306.9</v>
      </c>
      <c r="J32" s="237">
        <f>N32+D32+F32</f>
        <v>0</v>
      </c>
      <c r="K32" s="28">
        <f t="shared" si="1"/>
        <v>1306.9</v>
      </c>
      <c r="L32" s="235">
        <f>O32+D32+F32</f>
        <v>0</v>
      </c>
      <c r="N32" s="265">
        <v>0</v>
      </c>
      <c r="O32" s="263">
        <v>0</v>
      </c>
      <c r="P32" s="228"/>
      <c r="Q32" s="228"/>
    </row>
    <row r="33" spans="1:17" ht="15.75">
      <c r="A33" s="121"/>
      <c r="B33" s="236" t="s">
        <v>37</v>
      </c>
      <c r="C33" s="237"/>
      <c r="D33" s="26"/>
      <c r="E33" s="28"/>
      <c r="F33" s="28"/>
      <c r="G33" s="27"/>
      <c r="H33" s="26">
        <f t="shared" si="2"/>
        <v>0</v>
      </c>
      <c r="I33" s="27"/>
      <c r="J33" s="237">
        <f>N33+D33+F33</f>
        <v>0</v>
      </c>
      <c r="K33" s="28">
        <f t="shared" si="1"/>
        <v>0</v>
      </c>
      <c r="L33" s="235">
        <f>O33+D33+F33</f>
        <v>14.24</v>
      </c>
      <c r="N33" s="265">
        <v>0</v>
      </c>
      <c r="O33" s="263">
        <v>14.24</v>
      </c>
      <c r="P33" s="228"/>
      <c r="Q33" s="228"/>
    </row>
    <row r="34" spans="1:17" ht="15.75">
      <c r="A34" s="121"/>
      <c r="B34" s="236" t="s">
        <v>38</v>
      </c>
      <c r="C34" s="237"/>
      <c r="D34" s="26"/>
      <c r="E34" s="28"/>
      <c r="F34" s="28"/>
      <c r="G34" s="27"/>
      <c r="H34" s="26">
        <f t="shared" si="2"/>
        <v>0</v>
      </c>
      <c r="I34" s="27"/>
      <c r="J34" s="237">
        <f>N34+D34+F34</f>
        <v>0</v>
      </c>
      <c r="K34" s="28">
        <f t="shared" si="1"/>
        <v>0</v>
      </c>
      <c r="L34" s="235">
        <f>O34+D34+F34</f>
        <v>223.25</v>
      </c>
      <c r="N34" s="265">
        <v>0</v>
      </c>
      <c r="O34" s="263">
        <v>223.25</v>
      </c>
      <c r="P34" s="228"/>
      <c r="Q34" s="228"/>
    </row>
    <row r="35" spans="1:17" ht="30">
      <c r="A35" s="121"/>
      <c r="B35" s="249" t="s">
        <v>39</v>
      </c>
      <c r="C35" s="237"/>
      <c r="D35" s="26">
        <v>2490.58</v>
      </c>
      <c r="E35" s="28"/>
      <c r="F35" s="28"/>
      <c r="G35" s="27"/>
      <c r="H35" s="26">
        <f t="shared" si="2"/>
        <v>2490.58</v>
      </c>
      <c r="I35" s="27">
        <v>9922.82</v>
      </c>
      <c r="J35" s="237">
        <f>N35+D35+F35</f>
        <v>5387.28</v>
      </c>
      <c r="K35" s="28">
        <f t="shared" si="1"/>
        <v>4535.54</v>
      </c>
      <c r="L35" s="235">
        <f>O35+D35+F35</f>
        <v>5387.28</v>
      </c>
      <c r="N35" s="265">
        <v>2896.7</v>
      </c>
      <c r="O35" s="263">
        <v>2896.7</v>
      </c>
      <c r="P35" s="228"/>
      <c r="Q35" s="228"/>
    </row>
    <row r="36" spans="1:17" ht="15.75">
      <c r="A36" s="121"/>
      <c r="B36" s="249" t="s">
        <v>40</v>
      </c>
      <c r="C36" s="237"/>
      <c r="D36" s="26"/>
      <c r="E36" s="28"/>
      <c r="F36" s="28"/>
      <c r="G36" s="27"/>
      <c r="H36" s="26">
        <f t="shared" si="2"/>
        <v>0</v>
      </c>
      <c r="I36" s="27"/>
      <c r="J36" s="237">
        <f>N36+D36+F36</f>
        <v>0</v>
      </c>
      <c r="K36" s="28">
        <f t="shared" si="1"/>
        <v>0</v>
      </c>
      <c r="L36" s="235">
        <f>O36+D36+F36</f>
        <v>0</v>
      </c>
      <c r="N36" s="265">
        <v>0</v>
      </c>
      <c r="O36" s="263">
        <v>0</v>
      </c>
      <c r="P36" s="228"/>
      <c r="Q36" s="228"/>
    </row>
    <row r="37" spans="1:17" ht="15.75">
      <c r="A37" s="121"/>
      <c r="B37" s="250" t="s">
        <v>41</v>
      </c>
      <c r="C37" s="237">
        <f>G37/4</f>
        <v>1545.25</v>
      </c>
      <c r="D37" s="26"/>
      <c r="E37" s="27">
        <v>6181</v>
      </c>
      <c r="F37" s="28"/>
      <c r="G37" s="27">
        <v>6181</v>
      </c>
      <c r="H37" s="26">
        <f t="shared" si="2"/>
        <v>0</v>
      </c>
      <c r="I37" s="27"/>
      <c r="J37" s="237">
        <f>N37+D37+F37</f>
        <v>0</v>
      </c>
      <c r="K37" s="28">
        <f t="shared" si="1"/>
        <v>0</v>
      </c>
      <c r="L37" s="235">
        <f>O37+D37+F37</f>
        <v>0</v>
      </c>
      <c r="N37" s="265">
        <v>0</v>
      </c>
      <c r="O37" s="263">
        <v>0</v>
      </c>
      <c r="P37" s="228"/>
      <c r="Q37" s="228"/>
    </row>
    <row r="38" spans="1:17" ht="25.5">
      <c r="A38" s="121"/>
      <c r="B38" s="236" t="s">
        <v>42</v>
      </c>
      <c r="C38" s="237"/>
      <c r="D38" s="26">
        <v>162.22</v>
      </c>
      <c r="E38" s="28"/>
      <c r="F38" s="28">
        <v>171.67</v>
      </c>
      <c r="G38" s="27"/>
      <c r="H38" s="26">
        <f>162.22+F38</f>
        <v>333.89</v>
      </c>
      <c r="I38" s="27">
        <v>6033.3</v>
      </c>
      <c r="J38" s="237">
        <f>N38+D38+F38</f>
        <v>527.85</v>
      </c>
      <c r="K38" s="28">
        <f t="shared" si="1"/>
        <v>5505.45</v>
      </c>
      <c r="L38" s="235">
        <f>O38+D38+F38</f>
        <v>2421.65</v>
      </c>
      <c r="N38" s="265">
        <v>193.96</v>
      </c>
      <c r="O38" s="263">
        <v>2087.76</v>
      </c>
      <c r="P38" s="228"/>
      <c r="Q38" s="228"/>
    </row>
    <row r="39" spans="1:17" ht="15.75">
      <c r="A39" s="121"/>
      <c r="B39" s="236" t="s">
        <v>43</v>
      </c>
      <c r="C39" s="237"/>
      <c r="D39" s="26">
        <v>54.08</v>
      </c>
      <c r="E39" s="28"/>
      <c r="F39" s="28">
        <v>24.94</v>
      </c>
      <c r="G39" s="27"/>
      <c r="H39" s="26">
        <f>54.08+F39</f>
        <v>79.02</v>
      </c>
      <c r="I39" s="27">
        <v>1825.64</v>
      </c>
      <c r="J39" s="237">
        <f>N39+D39+F39</f>
        <v>301.13</v>
      </c>
      <c r="K39" s="28">
        <f t="shared" si="1"/>
        <v>1524.5100000000002</v>
      </c>
      <c r="L39" s="235">
        <f>O39+D39+F39</f>
        <v>917.5200000000001</v>
      </c>
      <c r="N39" s="265">
        <v>222.11</v>
      </c>
      <c r="O39" s="263">
        <v>838.5</v>
      </c>
      <c r="P39" s="228"/>
      <c r="Q39" s="228"/>
    </row>
    <row r="40" spans="1:17" ht="15.75">
      <c r="A40" s="121"/>
      <c r="B40" s="236" t="s">
        <v>44</v>
      </c>
      <c r="C40" s="237"/>
      <c r="D40" s="26">
        <v>13.73</v>
      </c>
      <c r="E40" s="28"/>
      <c r="F40" s="28">
        <v>0</v>
      </c>
      <c r="G40" s="27"/>
      <c r="H40" s="26">
        <f t="shared" si="2"/>
        <v>13.73</v>
      </c>
      <c r="I40" s="27">
        <f>1418.1-332.7</f>
        <v>1085.3999999999999</v>
      </c>
      <c r="J40" s="237">
        <f>N40+D40+F40</f>
        <v>223.36999999999998</v>
      </c>
      <c r="K40" s="28">
        <f t="shared" si="1"/>
        <v>862.0299999999999</v>
      </c>
      <c r="L40" s="235">
        <f>O40+D40+F40</f>
        <v>974.16</v>
      </c>
      <c r="N40" s="265">
        <v>209.64</v>
      </c>
      <c r="O40" s="263">
        <v>960.43</v>
      </c>
      <c r="P40" s="228"/>
      <c r="Q40" s="228"/>
    </row>
    <row r="41" spans="1:17" ht="15.75">
      <c r="A41" s="121"/>
      <c r="B41" s="236" t="s">
        <v>45</v>
      </c>
      <c r="C41" s="237"/>
      <c r="D41" s="26">
        <v>0.34</v>
      </c>
      <c r="E41" s="28"/>
      <c r="F41" s="28">
        <v>2.96</v>
      </c>
      <c r="G41" s="27"/>
      <c r="H41" s="26">
        <f>D41+F41</f>
        <v>3.3</v>
      </c>
      <c r="I41" s="27">
        <v>1551.58</v>
      </c>
      <c r="J41" s="237">
        <f>N41+D41+F41</f>
        <v>70.61</v>
      </c>
      <c r="K41" s="28">
        <f t="shared" si="1"/>
        <v>1480.97</v>
      </c>
      <c r="L41" s="235">
        <f>O41+D41+F41</f>
        <v>245.92000000000002</v>
      </c>
      <c r="N41" s="265">
        <v>67.31</v>
      </c>
      <c r="O41" s="263">
        <v>242.62</v>
      </c>
      <c r="P41" s="228"/>
      <c r="Q41" s="228"/>
    </row>
    <row r="42" spans="1:17" ht="15.75">
      <c r="A42" s="121"/>
      <c r="B42" s="250" t="s">
        <v>46</v>
      </c>
      <c r="C42" s="282">
        <f>G42/4</f>
        <v>2108.75</v>
      </c>
      <c r="D42" s="26">
        <v>41.34</v>
      </c>
      <c r="E42" s="284">
        <v>8435</v>
      </c>
      <c r="F42" s="28">
        <v>61.09</v>
      </c>
      <c r="G42" s="284">
        <v>8435</v>
      </c>
      <c r="H42" s="26">
        <f>F42+41.34</f>
        <v>102.43</v>
      </c>
      <c r="I42" s="284">
        <f>24159.12-1218.88</f>
        <v>22940.239999999998</v>
      </c>
      <c r="J42" s="237">
        <f>N42+D42+F42</f>
        <v>240.3</v>
      </c>
      <c r="K42" s="285">
        <f>I42-J42-J43-J44</f>
        <v>16592.76</v>
      </c>
      <c r="L42" s="235">
        <f>O42+D42+F42</f>
        <v>1021.97</v>
      </c>
      <c r="N42" s="265">
        <v>137.87</v>
      </c>
      <c r="O42" s="263">
        <v>919.54</v>
      </c>
      <c r="P42" s="228"/>
      <c r="Q42" s="228"/>
    </row>
    <row r="43" spans="1:17" ht="25.5">
      <c r="A43" s="121"/>
      <c r="B43" s="251" t="s">
        <v>47</v>
      </c>
      <c r="C43" s="283"/>
      <c r="D43" s="26">
        <v>1747.67</v>
      </c>
      <c r="E43" s="283"/>
      <c r="F43" s="28">
        <v>1480.07</v>
      </c>
      <c r="G43" s="283"/>
      <c r="H43" s="26">
        <f>D43+F43</f>
        <v>3227.74</v>
      </c>
      <c r="I43" s="284"/>
      <c r="J43" s="237">
        <f>N43+D43+F43</f>
        <v>5594.73</v>
      </c>
      <c r="K43" s="286"/>
      <c r="L43" s="235">
        <f>O43+D43+F43</f>
        <v>13654.05</v>
      </c>
      <c r="N43" s="265">
        <v>2366.99</v>
      </c>
      <c r="O43" s="263">
        <v>10426.31</v>
      </c>
      <c r="P43" s="228"/>
      <c r="Q43" s="228"/>
    </row>
    <row r="44" spans="1:17" ht="15.75">
      <c r="A44" s="121"/>
      <c r="B44" s="251" t="s">
        <v>48</v>
      </c>
      <c r="C44" s="282"/>
      <c r="D44" s="26">
        <v>58.22</v>
      </c>
      <c r="E44" s="284"/>
      <c r="F44" s="28">
        <v>60.62</v>
      </c>
      <c r="G44" s="284"/>
      <c r="H44" s="26">
        <f>D44+F44</f>
        <v>118.84</v>
      </c>
      <c r="I44" s="284"/>
      <c r="J44" s="237">
        <f>N44+D44+F44</f>
        <v>512.45</v>
      </c>
      <c r="K44" s="286"/>
      <c r="L44" s="235">
        <f>O44+D44+F44</f>
        <v>618.73</v>
      </c>
      <c r="N44" s="265">
        <v>393.61</v>
      </c>
      <c r="O44" s="263">
        <v>499.89</v>
      </c>
      <c r="P44" s="228"/>
      <c r="Q44" s="228"/>
    </row>
    <row r="45" spans="1:17" ht="15.75">
      <c r="A45" s="121"/>
      <c r="B45" s="250" t="s">
        <v>49</v>
      </c>
      <c r="C45" s="237"/>
      <c r="D45" s="26">
        <f>SUM(D38:D44)</f>
        <v>2077.6</v>
      </c>
      <c r="E45" s="28"/>
      <c r="F45" s="28">
        <f>SUM(F38:F44)</f>
        <v>1801.35</v>
      </c>
      <c r="G45" s="27"/>
      <c r="H45" s="26">
        <f>SUM(H38:H44)</f>
        <v>3878.95</v>
      </c>
      <c r="I45" s="28"/>
      <c r="J45" s="237">
        <f>N45+D45+F45</f>
        <v>7470.4400000000005</v>
      </c>
      <c r="K45" s="28"/>
      <c r="L45" s="235">
        <f>O45+D45+F45</f>
        <v>19853.999999999996</v>
      </c>
      <c r="N45" s="265">
        <v>3591.49</v>
      </c>
      <c r="O45" s="263">
        <v>15975.05</v>
      </c>
      <c r="P45" s="228"/>
      <c r="Q45" s="228"/>
    </row>
    <row r="46" spans="1:17" ht="15.75">
      <c r="A46" s="121"/>
      <c r="B46" s="252" t="s">
        <v>50</v>
      </c>
      <c r="C46" s="244"/>
      <c r="D46" s="64"/>
      <c r="E46" s="60"/>
      <c r="F46" s="60"/>
      <c r="G46" s="87"/>
      <c r="H46" s="64"/>
      <c r="I46" s="87"/>
      <c r="J46" s="244"/>
      <c r="K46" s="60"/>
      <c r="L46" s="68">
        <v>-60.99</v>
      </c>
      <c r="N46" s="265">
        <f>J46-D46</f>
        <v>0</v>
      </c>
      <c r="O46" s="263">
        <v>-60.99</v>
      </c>
      <c r="P46" s="228"/>
      <c r="Q46" s="228"/>
    </row>
    <row r="47" spans="1:17" ht="16.5" customHeight="1">
      <c r="A47" s="121"/>
      <c r="B47" s="253" t="s">
        <v>51</v>
      </c>
      <c r="C47" s="254">
        <f>C29+C31+C37+C42</f>
        <v>4977.25</v>
      </c>
      <c r="D47" s="90">
        <f>D29+D30+D35+D45+D31</f>
        <v>4755.56</v>
      </c>
      <c r="E47" s="226"/>
      <c r="F47" s="90">
        <f>F29+F30+F35+F45+F31</f>
        <v>2009.62</v>
      </c>
      <c r="G47" s="91">
        <f>G29+G31+G37+G42</f>
        <v>19909</v>
      </c>
      <c r="H47" s="92">
        <f>H29+H30+H35+H45+H31+H46</f>
        <v>6765.18</v>
      </c>
      <c r="I47" s="91">
        <f>I29+I30+I45+I31+I46+I38+I39+I40+I42+I35+I32+I41</f>
        <v>62774.78</v>
      </c>
      <c r="J47" s="92">
        <f>J29+J30+J35+J31+J45+J46</f>
        <v>14271.24</v>
      </c>
      <c r="K47" s="93">
        <f>SUM(K29:K46)</f>
        <v>48503.53999999999</v>
      </c>
      <c r="L47" s="94">
        <f>L29+L30+L31+L35+L33+L34+L45+L46</f>
        <v>64168.6</v>
      </c>
      <c r="N47" s="266">
        <f>J47-D47</f>
        <v>9515.68</v>
      </c>
      <c r="O47" s="264">
        <v>57403.42</v>
      </c>
      <c r="P47" s="228"/>
      <c r="Q47" s="228"/>
    </row>
    <row r="48" spans="1:15" ht="25.5">
      <c r="A48" s="121"/>
      <c r="B48" s="253" t="s">
        <v>52</v>
      </c>
      <c r="C48" s="241"/>
      <c r="D48" s="53"/>
      <c r="E48" s="87"/>
      <c r="F48" s="28"/>
      <c r="G48" s="27"/>
      <c r="H48" s="28"/>
      <c r="I48" s="43"/>
      <c r="J48" s="255"/>
      <c r="K48" s="45"/>
      <c r="L48" s="57">
        <v>1448.05</v>
      </c>
      <c r="N48" s="266">
        <v>0</v>
      </c>
      <c r="O48" s="264">
        <v>1448.05</v>
      </c>
    </row>
    <row r="49" spans="1:15" ht="15.75">
      <c r="A49" s="121"/>
      <c r="B49" s="233" t="s">
        <v>53</v>
      </c>
      <c r="C49" s="234"/>
      <c r="D49" s="42"/>
      <c r="E49" s="44"/>
      <c r="F49" s="45"/>
      <c r="G49" s="43"/>
      <c r="H49" s="44"/>
      <c r="I49" s="43"/>
      <c r="J49" s="255"/>
      <c r="K49" s="45"/>
      <c r="L49" s="96"/>
      <c r="N49" s="266">
        <v>0</v>
      </c>
      <c r="O49" s="264">
        <v>0</v>
      </c>
    </row>
    <row r="50" spans="1:15" ht="15.75">
      <c r="A50" s="121"/>
      <c r="B50" s="236" t="s">
        <v>54</v>
      </c>
      <c r="C50" s="237"/>
      <c r="D50" s="28">
        <v>14.36</v>
      </c>
      <c r="E50" s="28"/>
      <c r="F50" s="28">
        <v>2231.02</v>
      </c>
      <c r="G50" s="46"/>
      <c r="H50" s="28">
        <f>D50+F50</f>
        <v>2245.38</v>
      </c>
      <c r="I50" s="46"/>
      <c r="J50" s="237">
        <f>N50+D50+F50</f>
        <v>2246.81</v>
      </c>
      <c r="K50" s="47"/>
      <c r="L50" s="47">
        <f>O50+D50+F50</f>
        <v>3793.08</v>
      </c>
      <c r="N50" s="265">
        <v>1.43</v>
      </c>
      <c r="O50" s="263">
        <v>1547.7</v>
      </c>
    </row>
    <row r="51" spans="1:15" ht="15.75">
      <c r="A51" s="121"/>
      <c r="B51" s="236" t="s">
        <v>55</v>
      </c>
      <c r="C51" s="237"/>
      <c r="D51" s="28">
        <v>0</v>
      </c>
      <c r="E51" s="28"/>
      <c r="F51" s="28">
        <v>0</v>
      </c>
      <c r="G51" s="46"/>
      <c r="H51" s="28">
        <f>D51</f>
        <v>0</v>
      </c>
      <c r="I51" s="46"/>
      <c r="J51" s="237">
        <f>N51+D51+F51</f>
        <v>0</v>
      </c>
      <c r="K51" s="47"/>
      <c r="L51" s="47">
        <f>O51+D51+F51</f>
        <v>0</v>
      </c>
      <c r="N51" s="265">
        <v>0</v>
      </c>
      <c r="O51" s="263">
        <v>0</v>
      </c>
    </row>
    <row r="52" spans="1:15" ht="15.75">
      <c r="A52" s="121"/>
      <c r="B52" s="236" t="s">
        <v>56</v>
      </c>
      <c r="C52" s="237"/>
      <c r="D52" s="28">
        <v>0</v>
      </c>
      <c r="E52" s="28"/>
      <c r="F52" s="28">
        <v>0</v>
      </c>
      <c r="G52" s="46"/>
      <c r="H52" s="28"/>
      <c r="I52" s="46"/>
      <c r="J52" s="237">
        <f>N52+D52+F52</f>
        <v>0</v>
      </c>
      <c r="K52" s="47"/>
      <c r="L52" s="47">
        <f>O52+D52+F52</f>
        <v>392.53</v>
      </c>
      <c r="N52" s="265">
        <v>0</v>
      </c>
      <c r="O52" s="263">
        <v>392.53</v>
      </c>
    </row>
    <row r="53" spans="1:15" ht="15.75">
      <c r="A53" s="121"/>
      <c r="B53" s="256" t="s">
        <v>57</v>
      </c>
      <c r="C53" s="241"/>
      <c r="D53" s="98">
        <f>SUM(D50:D52)</f>
        <v>14.36</v>
      </c>
      <c r="E53" s="55"/>
      <c r="F53" s="98">
        <f>SUM(F50:F52)</f>
        <v>2231.02</v>
      </c>
      <c r="G53" s="54"/>
      <c r="H53" s="55">
        <f>SUM(H50:H52)</f>
        <v>2245.38</v>
      </c>
      <c r="I53" s="54">
        <f>SUM(I50:I51)</f>
        <v>0</v>
      </c>
      <c r="J53" s="98">
        <f>SUM(J50:J52)</f>
        <v>2246.81</v>
      </c>
      <c r="K53" s="56"/>
      <c r="L53" s="98">
        <f>SUM(L50:L52)</f>
        <v>4185.61</v>
      </c>
      <c r="N53" s="264">
        <f>SUM(N50:N52)</f>
        <v>1.43</v>
      </c>
      <c r="O53" s="264">
        <f>SUM(O50:O52)</f>
        <v>1940.23</v>
      </c>
    </row>
    <row r="54" spans="1:15" ht="15.75">
      <c r="A54" s="121"/>
      <c r="B54" s="257" t="s">
        <v>58</v>
      </c>
      <c r="C54" s="237"/>
      <c r="D54" s="26"/>
      <c r="E54" s="28"/>
      <c r="F54" s="28"/>
      <c r="G54" s="27"/>
      <c r="H54" s="26"/>
      <c r="I54" s="27"/>
      <c r="J54" s="237"/>
      <c r="K54" s="28"/>
      <c r="L54" s="48"/>
      <c r="N54" s="266"/>
      <c r="O54" s="264"/>
    </row>
    <row r="55" spans="1:15" ht="15.75">
      <c r="A55" s="121"/>
      <c r="B55" s="236" t="s">
        <v>59</v>
      </c>
      <c r="C55" s="237"/>
      <c r="D55" s="26"/>
      <c r="E55" s="28"/>
      <c r="F55" s="28"/>
      <c r="G55" s="27"/>
      <c r="H55" s="26"/>
      <c r="I55" s="27"/>
      <c r="J55" s="237"/>
      <c r="K55" s="28"/>
      <c r="L55" s="48"/>
      <c r="N55" s="266"/>
      <c r="O55" s="264"/>
    </row>
    <row r="56" spans="1:15" ht="15.75">
      <c r="A56" s="121"/>
      <c r="B56" s="236" t="s">
        <v>60</v>
      </c>
      <c r="C56" s="237"/>
      <c r="D56" s="26"/>
      <c r="E56" s="28"/>
      <c r="F56" s="28"/>
      <c r="G56" s="27"/>
      <c r="H56" s="26"/>
      <c r="I56" s="27"/>
      <c r="J56" s="237"/>
      <c r="K56" s="28"/>
      <c r="L56" s="48"/>
      <c r="N56" s="266"/>
      <c r="O56" s="264"/>
    </row>
    <row r="57" spans="1:15" ht="15.75">
      <c r="A57" s="121"/>
      <c r="B57" s="236" t="s">
        <v>61</v>
      </c>
      <c r="C57" s="237"/>
      <c r="D57" s="26">
        <v>18554.8</v>
      </c>
      <c r="E57" s="28"/>
      <c r="F57" s="28">
        <v>16115.73</v>
      </c>
      <c r="G57" s="27"/>
      <c r="H57" s="26">
        <f>F57</f>
        <v>16115.73</v>
      </c>
      <c r="I57" s="27"/>
      <c r="J57" s="237">
        <f>H57</f>
        <v>16115.73</v>
      </c>
      <c r="K57" s="28"/>
      <c r="L57" s="48">
        <f>H57</f>
        <v>16115.73</v>
      </c>
      <c r="N57" s="266"/>
      <c r="O57" s="264"/>
    </row>
    <row r="58" spans="1:15" ht="15.75">
      <c r="A58" s="121"/>
      <c r="B58" s="236" t="s">
        <v>62</v>
      </c>
      <c r="C58" s="237"/>
      <c r="D58" s="26">
        <v>2821.51</v>
      </c>
      <c r="E58" s="28"/>
      <c r="F58" s="28">
        <v>2616.68</v>
      </c>
      <c r="G58" s="27"/>
      <c r="H58" s="26">
        <f>F58</f>
        <v>2616.68</v>
      </c>
      <c r="I58" s="27"/>
      <c r="J58" s="237">
        <f>H58</f>
        <v>2616.68</v>
      </c>
      <c r="K58" s="28"/>
      <c r="L58" s="48">
        <f>H58</f>
        <v>2616.68</v>
      </c>
      <c r="N58" s="266"/>
      <c r="O58" s="264"/>
    </row>
    <row r="59" spans="1:15" ht="15.75">
      <c r="A59" s="121"/>
      <c r="B59" s="236" t="s">
        <v>63</v>
      </c>
      <c r="C59" s="237"/>
      <c r="D59" s="26">
        <v>176.38</v>
      </c>
      <c r="E59" s="28"/>
      <c r="F59" s="28">
        <v>676.79</v>
      </c>
      <c r="G59" s="27"/>
      <c r="H59" s="26">
        <f>F59</f>
        <v>676.79</v>
      </c>
      <c r="I59" s="27"/>
      <c r="J59" s="237">
        <f>H59</f>
        <v>676.79</v>
      </c>
      <c r="K59" s="28"/>
      <c r="L59" s="48">
        <f>H59</f>
        <v>676.79</v>
      </c>
      <c r="N59" s="266"/>
      <c r="O59" s="264"/>
    </row>
    <row r="60" spans="1:15" ht="15.75">
      <c r="A60" s="121"/>
      <c r="B60" s="236" t="s">
        <v>64</v>
      </c>
      <c r="C60" s="237"/>
      <c r="D60" s="26">
        <v>1192.39</v>
      </c>
      <c r="E60" s="28"/>
      <c r="F60" s="28">
        <v>598.46</v>
      </c>
      <c r="G60" s="27"/>
      <c r="H60" s="26">
        <f>F60</f>
        <v>598.46</v>
      </c>
      <c r="I60" s="27"/>
      <c r="J60" s="237">
        <f>H60</f>
        <v>598.46</v>
      </c>
      <c r="K60" s="28"/>
      <c r="L60" s="48">
        <f>H60</f>
        <v>598.46</v>
      </c>
      <c r="N60" s="266"/>
      <c r="O60" s="264"/>
    </row>
    <row r="61" spans="1:15" ht="15.75">
      <c r="A61" s="121"/>
      <c r="B61" s="258" t="s">
        <v>65</v>
      </c>
      <c r="C61" s="231"/>
      <c r="D61" s="33">
        <f>SUM(D55:D60)</f>
        <v>22745.079999999998</v>
      </c>
      <c r="E61" s="33"/>
      <c r="F61" s="33">
        <f>SUM(F55:F60)</f>
        <v>20007.66</v>
      </c>
      <c r="G61" s="33">
        <f>SUM(G57:G60)</f>
        <v>0</v>
      </c>
      <c r="H61" s="33">
        <f>SUM(H55:H60)</f>
        <v>20007.66</v>
      </c>
      <c r="I61" s="33">
        <f>SUM(I57:I60)</f>
        <v>0</v>
      </c>
      <c r="J61" s="33">
        <f>SUM(J55:J60)</f>
        <v>20007.66</v>
      </c>
      <c r="K61" s="36"/>
      <c r="L61" s="33">
        <f>SUM(L55:L60)</f>
        <v>20007.66</v>
      </c>
      <c r="N61" s="266">
        <f>J61-D61</f>
        <v>-2737.4199999999983</v>
      </c>
      <c r="O61" s="264">
        <f>L61-D61</f>
        <v>-2737.4199999999983</v>
      </c>
    </row>
    <row r="62" spans="1:15" ht="15.75">
      <c r="A62" s="121"/>
      <c r="B62" s="259" t="s">
        <v>66</v>
      </c>
      <c r="C62" s="241"/>
      <c r="D62" s="98">
        <f>D47+D53+D61</f>
        <v>27515</v>
      </c>
      <c r="E62" s="28"/>
      <c r="F62" s="28">
        <f>F47+F48+F53+F61</f>
        <v>24248.3</v>
      </c>
      <c r="G62" s="59"/>
      <c r="H62" s="36">
        <f>H47+H53+H61+H48</f>
        <v>29018.22</v>
      </c>
      <c r="I62" s="59">
        <f>I47+I53+I61</f>
        <v>62774.78</v>
      </c>
      <c r="J62" s="60">
        <f>J47+J53+J61</f>
        <v>36525.71</v>
      </c>
      <c r="K62" s="36"/>
      <c r="L62" s="104">
        <f>L47+L48+L53+L61</f>
        <v>89809.92</v>
      </c>
      <c r="N62" s="266">
        <f>J62-D62</f>
        <v>9010.71</v>
      </c>
      <c r="O62" s="264">
        <f>L62-D62</f>
        <v>62294.92</v>
      </c>
    </row>
    <row r="63" spans="2:15" ht="15.75">
      <c r="B63" s="215" t="s">
        <v>67</v>
      </c>
      <c r="L63" s="105"/>
      <c r="N63" s="261">
        <v>9517.11</v>
      </c>
      <c r="O63" s="261">
        <v>62801.32</v>
      </c>
    </row>
    <row r="64" spans="2:12" ht="30.75" customHeight="1">
      <c r="B64" s="216" t="s">
        <v>68</v>
      </c>
      <c r="C64" s="217" t="s">
        <v>69</v>
      </c>
      <c r="D64" s="287" t="s">
        <v>70</v>
      </c>
      <c r="E64" s="287"/>
      <c r="F64" s="287"/>
      <c r="G64" s="287"/>
      <c r="H64" s="287" t="s">
        <v>71</v>
      </c>
      <c r="I64" s="287"/>
      <c r="J64" s="287" t="s">
        <v>72</v>
      </c>
      <c r="K64" s="287"/>
      <c r="L64" s="105"/>
    </row>
    <row r="65" spans="2:12" ht="15.75">
      <c r="B65" s="70"/>
      <c r="C65" s="106"/>
      <c r="D65" s="288"/>
      <c r="E65" s="288"/>
      <c r="F65" s="288"/>
      <c r="G65" s="288"/>
      <c r="H65" s="289"/>
      <c r="I65" s="289"/>
      <c r="J65" s="289"/>
      <c r="K65" s="289"/>
      <c r="L65" s="105"/>
    </row>
    <row r="66" spans="2:12" ht="99.75" customHeight="1">
      <c r="B66" s="210" t="s">
        <v>73</v>
      </c>
      <c r="C66" s="211">
        <v>1</v>
      </c>
      <c r="D66" s="290">
        <f>F47</f>
        <v>2009.62</v>
      </c>
      <c r="E66" s="290"/>
      <c r="F66" s="290"/>
      <c r="G66" s="290"/>
      <c r="H66" s="291">
        <v>90</v>
      </c>
      <c r="I66" s="291"/>
      <c r="J66" s="290">
        <f>D66*H66%</f>
        <v>1808.658</v>
      </c>
      <c r="K66" s="290"/>
      <c r="L66" s="105"/>
    </row>
    <row r="67" spans="2:12" ht="17.25">
      <c r="B67" s="213" t="s">
        <v>74</v>
      </c>
      <c r="C67" s="212"/>
      <c r="D67" s="293">
        <f>SUM(D66)</f>
        <v>2009.62</v>
      </c>
      <c r="E67" s="293"/>
      <c r="F67" s="293"/>
      <c r="G67" s="293"/>
      <c r="H67" s="294">
        <v>0</v>
      </c>
      <c r="I67" s="294"/>
      <c r="J67" s="293">
        <f>SUM(J66)</f>
        <v>1808.658</v>
      </c>
      <c r="K67" s="293"/>
      <c r="L67" s="107"/>
    </row>
    <row r="68" ht="18.75">
      <c r="B68" s="214" t="s">
        <v>75</v>
      </c>
    </row>
    <row r="69" spans="1:15" s="208" customFormat="1" ht="39" customHeight="1">
      <c r="A69" s="207">
        <v>1</v>
      </c>
      <c r="B69" s="292" t="s">
        <v>148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N69" s="261"/>
      <c r="O69" s="261"/>
    </row>
    <row r="70" spans="1:15" s="208" customFormat="1" ht="28.5" customHeight="1">
      <c r="A70" s="207">
        <v>2</v>
      </c>
      <c r="B70" s="292" t="s">
        <v>76</v>
      </c>
      <c r="C70" s="292"/>
      <c r="D70" s="292"/>
      <c r="E70" s="292"/>
      <c r="F70" s="292"/>
      <c r="G70" s="292"/>
      <c r="H70" s="292"/>
      <c r="I70" s="292"/>
      <c r="J70" s="292"/>
      <c r="K70" s="292"/>
      <c r="N70" s="261"/>
      <c r="O70" s="261"/>
    </row>
    <row r="71" spans="1:15" s="208" customFormat="1" ht="44.25" customHeight="1">
      <c r="A71" s="207">
        <v>3</v>
      </c>
      <c r="B71" s="292" t="s">
        <v>149</v>
      </c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N71" s="261"/>
      <c r="O71" s="261"/>
    </row>
    <row r="72" spans="1:15" s="208" customFormat="1" ht="86.25" customHeight="1">
      <c r="A72" s="207">
        <v>4</v>
      </c>
      <c r="B72" s="292" t="s">
        <v>78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N72" s="261"/>
      <c r="O72" s="261"/>
    </row>
    <row r="73" spans="1:11" ht="30.75" customHeight="1">
      <c r="A73" s="108"/>
      <c r="B73" s="109"/>
      <c r="C73" s="110"/>
      <c r="D73" s="297"/>
      <c r="E73" s="297"/>
      <c r="F73" s="297"/>
      <c r="G73" s="297"/>
      <c r="H73" s="297"/>
      <c r="I73" s="298"/>
      <c r="J73" s="298"/>
      <c r="K73" s="298"/>
    </row>
    <row r="74" spans="1:11" ht="30" customHeight="1">
      <c r="A74" s="108"/>
      <c r="B74" s="111"/>
      <c r="C74" s="112"/>
      <c r="D74" s="297"/>
      <c r="E74" s="297"/>
      <c r="F74" s="297"/>
      <c r="G74" s="297"/>
      <c r="H74" s="297"/>
      <c r="I74" s="298"/>
      <c r="J74" s="298"/>
      <c r="K74" s="298"/>
    </row>
    <row r="75" spans="1:11" ht="35.25" customHeight="1">
      <c r="A75" s="108"/>
      <c r="B75" s="113"/>
      <c r="C75" s="113"/>
      <c r="D75" s="299" t="s">
        <v>79</v>
      </c>
      <c r="E75" s="299"/>
      <c r="F75" s="299"/>
      <c r="G75" s="299"/>
      <c r="H75" s="299"/>
      <c r="I75" s="299" t="s">
        <v>80</v>
      </c>
      <c r="J75" s="299"/>
      <c r="K75" s="299"/>
    </row>
    <row r="76" spans="2:11" ht="20.25" customHeight="1">
      <c r="B76" s="113"/>
      <c r="C76" s="113"/>
      <c r="D76" s="299" t="s">
        <v>81</v>
      </c>
      <c r="E76" s="299"/>
      <c r="F76" s="299"/>
      <c r="G76" s="299"/>
      <c r="H76" s="209"/>
      <c r="I76" s="300" t="s">
        <v>82</v>
      </c>
      <c r="J76" s="300"/>
      <c r="K76" s="300"/>
    </row>
    <row r="77" spans="2:10" ht="15.75">
      <c r="B77" s="114"/>
      <c r="C77" s="295"/>
      <c r="D77" s="295"/>
      <c r="E77" s="223"/>
      <c r="F77" s="223"/>
      <c r="G77" s="5"/>
      <c r="H77" s="5"/>
      <c r="I77" s="5"/>
      <c r="J77" s="5"/>
    </row>
    <row r="78" ht="15.75">
      <c r="B78"/>
    </row>
    <row r="79" spans="2:8" ht="15.75">
      <c r="B79" s="296"/>
      <c r="C79" s="296"/>
      <c r="D79" s="296"/>
      <c r="E79" s="296"/>
      <c r="F79" s="296"/>
      <c r="G79" s="296"/>
      <c r="H79" s="5"/>
    </row>
    <row r="83" spans="4:6" ht="15.75">
      <c r="D83" s="115"/>
      <c r="E83" s="115"/>
      <c r="F83" s="115"/>
    </row>
    <row r="87" spans="4:6" ht="15.75">
      <c r="D87" s="116"/>
      <c r="E87" s="116"/>
      <c r="F87" s="116"/>
    </row>
    <row r="93" spans="14:16" ht="15.75">
      <c r="N93" s="267"/>
      <c r="O93" s="267"/>
      <c r="P93" s="116"/>
    </row>
    <row r="99" spans="3:6" ht="15.75">
      <c r="C99" s="117"/>
      <c r="D99" s="117"/>
      <c r="E99" s="117"/>
      <c r="F99" s="117"/>
    </row>
    <row r="100" spans="3:6" ht="15.75">
      <c r="C100" s="117"/>
      <c r="D100" s="117"/>
      <c r="E100" s="117"/>
      <c r="F100" s="117"/>
    </row>
    <row r="102" spans="8:10" ht="15.75">
      <c r="H102" s="80"/>
      <c r="J102" s="79"/>
    </row>
    <row r="104" spans="3:6" ht="15.75">
      <c r="C104" s="118"/>
      <c r="D104" s="118"/>
      <c r="E104" s="118"/>
      <c r="F104" s="118"/>
    </row>
    <row r="108" spans="3:6" ht="15.75">
      <c r="C108" s="118"/>
      <c r="D108" s="119"/>
      <c r="E108" s="119"/>
      <c r="F108" s="119"/>
    </row>
  </sheetData>
  <sheetProtection/>
  <mergeCells count="36">
    <mergeCell ref="C77:D77"/>
    <mergeCell ref="B79:G79"/>
    <mergeCell ref="D73:H74"/>
    <mergeCell ref="I73:K74"/>
    <mergeCell ref="D75:H75"/>
    <mergeCell ref="I75:K75"/>
    <mergeCell ref="D76:G76"/>
    <mergeCell ref="I76:K76"/>
    <mergeCell ref="B71:L71"/>
    <mergeCell ref="B72:L72"/>
    <mergeCell ref="D67:G67"/>
    <mergeCell ref="H67:I67"/>
    <mergeCell ref="J67:K67"/>
    <mergeCell ref="B69:L69"/>
    <mergeCell ref="B70:K70"/>
    <mergeCell ref="D65:G65"/>
    <mergeCell ref="H65:I65"/>
    <mergeCell ref="J65:K65"/>
    <mergeCell ref="D66:G66"/>
    <mergeCell ref="H66:I66"/>
    <mergeCell ref="J66:K66"/>
    <mergeCell ref="C42:C44"/>
    <mergeCell ref="G42:G44"/>
    <mergeCell ref="I42:I44"/>
    <mergeCell ref="K42:K44"/>
    <mergeCell ref="D64:G64"/>
    <mergeCell ref="H64:I64"/>
    <mergeCell ref="J64:K64"/>
    <mergeCell ref="E42:E44"/>
    <mergeCell ref="B2:L2"/>
    <mergeCell ref="B3:L3"/>
    <mergeCell ref="B4:K4"/>
    <mergeCell ref="C5:D5"/>
    <mergeCell ref="G5:H5"/>
    <mergeCell ref="I5:K5"/>
    <mergeCell ref="E5:F5"/>
  </mergeCells>
  <printOptions gridLines="1"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portrait" scale="60" r:id="rId1"/>
  <rowBreaks count="2" manualBreakCount="2">
    <brk id="62" max="255" man="1"/>
    <brk id="76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31">
      <selection activeCell="D19" sqref="D19"/>
    </sheetView>
  </sheetViews>
  <sheetFormatPr defaultColWidth="12.57421875" defaultRowHeight="15"/>
  <cols>
    <col min="1" max="1" width="5.140625" style="3" customWidth="1"/>
    <col min="2" max="2" width="33.57421875" style="3" customWidth="1"/>
    <col min="3" max="3" width="9.8515625" style="3" customWidth="1"/>
    <col min="4" max="4" width="10.28125" style="3" customWidth="1"/>
    <col min="5" max="5" width="11.57421875" style="3" customWidth="1"/>
    <col min="6" max="6" width="12.140625" style="3" customWidth="1"/>
    <col min="7" max="7" width="10.57421875" style="3" customWidth="1"/>
    <col min="8" max="8" width="10.140625" style="3" customWidth="1"/>
    <col min="9" max="9" width="10.00390625" style="3" customWidth="1"/>
    <col min="10" max="10" width="13.7109375" style="3" customWidth="1"/>
    <col min="11" max="11" width="12.57421875" style="3" customWidth="1"/>
    <col min="12" max="12" width="10.28125" style="3" customWidth="1"/>
    <col min="13" max="13" width="12.57421875" style="3" customWidth="1"/>
    <col min="14" max="14" width="13.7109375" style="3" customWidth="1"/>
    <col min="15" max="16384" width="12.57421875" style="3" customWidth="1"/>
  </cols>
  <sheetData>
    <row r="1" spans="1:14" ht="15">
      <c r="A1" s="1"/>
      <c r="B1" s="2" t="s">
        <v>138</v>
      </c>
      <c r="F1" s="4"/>
      <c r="H1"/>
      <c r="I1"/>
      <c r="J1" s="2" t="s">
        <v>0</v>
      </c>
      <c r="N1" s="2" t="s">
        <v>0</v>
      </c>
    </row>
    <row r="2" spans="1:10" ht="15">
      <c r="A2" s="5"/>
      <c r="B2" s="275" t="s">
        <v>1</v>
      </c>
      <c r="C2" s="275"/>
      <c r="D2" s="275"/>
      <c r="E2" s="275"/>
      <c r="F2" s="275"/>
      <c r="G2" s="275"/>
      <c r="H2" s="275"/>
      <c r="I2" s="275"/>
      <c r="J2" s="275"/>
    </row>
    <row r="3" spans="1:10" ht="15">
      <c r="A3" s="5"/>
      <c r="B3" s="275" t="s">
        <v>2</v>
      </c>
      <c r="C3" s="275"/>
      <c r="D3" s="275"/>
      <c r="E3" s="275"/>
      <c r="F3" s="275"/>
      <c r="G3" s="275"/>
      <c r="H3" s="275"/>
      <c r="I3" s="275"/>
      <c r="J3" s="276"/>
    </row>
    <row r="4" spans="2:14" ht="15">
      <c r="B4" s="277" t="s">
        <v>3</v>
      </c>
      <c r="C4" s="277"/>
      <c r="D4" s="277"/>
      <c r="E4" s="277"/>
      <c r="F4" s="277"/>
      <c r="G4" s="277"/>
      <c r="H4" s="277"/>
      <c r="I4" s="278"/>
      <c r="J4" s="6"/>
      <c r="N4" s="6"/>
    </row>
    <row r="5" spans="2:14" ht="75.75" customHeight="1">
      <c r="B5" s="7" t="s">
        <v>4</v>
      </c>
      <c r="C5" s="279" t="s">
        <v>134</v>
      </c>
      <c r="D5" s="279"/>
      <c r="E5" s="279" t="s">
        <v>135</v>
      </c>
      <c r="F5" s="279"/>
      <c r="G5" s="280" t="s">
        <v>136</v>
      </c>
      <c r="H5" s="280"/>
      <c r="I5" s="281"/>
      <c r="J5" s="8" t="s">
        <v>137</v>
      </c>
      <c r="L5" s="224"/>
      <c r="N5" s="8" t="s">
        <v>125</v>
      </c>
    </row>
    <row r="6" spans="2:14" ht="15">
      <c r="B6" s="9"/>
      <c r="C6" s="10" t="s">
        <v>6</v>
      </c>
      <c r="D6" s="11" t="s">
        <v>7</v>
      </c>
      <c r="E6" s="12" t="s">
        <v>6</v>
      </c>
      <c r="F6" s="11" t="s">
        <v>7</v>
      </c>
      <c r="G6" s="12" t="s">
        <v>8</v>
      </c>
      <c r="H6" s="13" t="s">
        <v>7</v>
      </c>
      <c r="I6" s="10" t="s">
        <v>9</v>
      </c>
      <c r="J6" s="6"/>
      <c r="L6" s="11" t="s">
        <v>7</v>
      </c>
      <c r="N6" s="6"/>
    </row>
    <row r="7" spans="2:14" ht="15">
      <c r="B7" s="14" t="s">
        <v>10</v>
      </c>
      <c r="C7" s="15"/>
      <c r="D7" s="16"/>
      <c r="E7" s="17"/>
      <c r="F7" s="16"/>
      <c r="G7" s="17"/>
      <c r="H7" s="15"/>
      <c r="I7" s="15"/>
      <c r="J7" s="18"/>
      <c r="L7" s="16"/>
      <c r="N7" s="18"/>
    </row>
    <row r="8" spans="2:14" ht="15">
      <c r="B8" s="19" t="s">
        <v>11</v>
      </c>
      <c r="C8" s="20"/>
      <c r="D8" s="21"/>
      <c r="E8" s="22"/>
      <c r="F8" s="21"/>
      <c r="G8" s="22"/>
      <c r="H8" s="20"/>
      <c r="I8" s="20"/>
      <c r="J8" s="23"/>
      <c r="L8" s="21"/>
      <c r="N8" s="23"/>
    </row>
    <row r="9" spans="2:14" ht="15">
      <c r="B9" s="24" t="s">
        <v>12</v>
      </c>
      <c r="C9" s="25"/>
      <c r="D9" s="225">
        <v>176.38</v>
      </c>
      <c r="E9" s="27"/>
      <c r="F9" s="26">
        <f>D9</f>
        <v>176.38</v>
      </c>
      <c r="G9" s="27"/>
      <c r="H9" s="28">
        <v>166.79</v>
      </c>
      <c r="I9" s="28"/>
      <c r="J9" s="29"/>
      <c r="L9" s="26">
        <v>501.64</v>
      </c>
      <c r="N9" s="29"/>
    </row>
    <row r="10" spans="2:14" ht="15">
      <c r="B10" s="24" t="s">
        <v>13</v>
      </c>
      <c r="C10" s="25"/>
      <c r="D10" s="225">
        <v>0</v>
      </c>
      <c r="E10" s="27"/>
      <c r="F10" s="26">
        <f>D10</f>
        <v>0</v>
      </c>
      <c r="G10" s="27"/>
      <c r="H10" s="28">
        <f>F10</f>
        <v>0</v>
      </c>
      <c r="I10" s="28"/>
      <c r="J10" s="29"/>
      <c r="L10" s="26">
        <v>0</v>
      </c>
      <c r="N10" s="29"/>
    </row>
    <row r="11" spans="2:14" ht="15">
      <c r="B11" s="30" t="s">
        <v>14</v>
      </c>
      <c r="C11" s="25"/>
      <c r="D11" s="225">
        <v>18554.8</v>
      </c>
      <c r="E11" s="27"/>
      <c r="F11" s="26">
        <f>D11</f>
        <v>18554.8</v>
      </c>
      <c r="G11" s="27"/>
      <c r="H11" s="28">
        <v>4130.03</v>
      </c>
      <c r="I11" s="28"/>
      <c r="J11" s="29"/>
      <c r="L11" s="26">
        <v>18662.79</v>
      </c>
      <c r="N11" s="29"/>
    </row>
    <row r="12" spans="2:14" ht="15">
      <c r="B12" s="30" t="s">
        <v>15</v>
      </c>
      <c r="C12" s="25"/>
      <c r="D12" s="225">
        <v>2821.51</v>
      </c>
      <c r="E12" s="27"/>
      <c r="F12" s="26">
        <f>D12</f>
        <v>2821.51</v>
      </c>
      <c r="G12" s="27"/>
      <c r="H12" s="28" t="s">
        <v>16</v>
      </c>
      <c r="I12" s="28"/>
      <c r="J12" s="29"/>
      <c r="L12" s="26">
        <v>2857.02</v>
      </c>
      <c r="N12" s="29"/>
    </row>
    <row r="13" spans="2:14" ht="15">
      <c r="B13" s="30" t="s">
        <v>17</v>
      </c>
      <c r="C13" s="25"/>
      <c r="D13" s="225">
        <v>1192.39</v>
      </c>
      <c r="E13" s="27"/>
      <c r="F13" s="26">
        <f>D13</f>
        <v>1192.39</v>
      </c>
      <c r="G13" s="27"/>
      <c r="H13" s="28">
        <v>504.13</v>
      </c>
      <c r="I13" s="28"/>
      <c r="J13" s="29"/>
      <c r="L13" s="26">
        <v>137.65</v>
      </c>
      <c r="N13" s="29"/>
    </row>
    <row r="14" spans="2:14" s="2" customFormat="1" ht="12.75">
      <c r="B14" s="31" t="s">
        <v>18</v>
      </c>
      <c r="C14" s="32"/>
      <c r="D14" s="33">
        <f>SUM(D9:D13)</f>
        <v>22745.08</v>
      </c>
      <c r="E14" s="34"/>
      <c r="F14" s="35">
        <f>SUM(F9:F13)</f>
        <v>22745.08</v>
      </c>
      <c r="G14" s="35">
        <f>SUM(G9:G13)</f>
        <v>0</v>
      </c>
      <c r="H14" s="35">
        <f>SUM(H9:H13)</f>
        <v>4800.95</v>
      </c>
      <c r="I14" s="36"/>
      <c r="J14" s="37"/>
      <c r="L14" s="33">
        <f>SUM(L9:L13)</f>
        <v>22159.100000000002</v>
      </c>
      <c r="N14" s="37"/>
    </row>
    <row r="15" spans="2:14" ht="15">
      <c r="B15" s="38" t="s">
        <v>19</v>
      </c>
      <c r="C15" s="39"/>
      <c r="D15" s="40"/>
      <c r="E15" s="41"/>
      <c r="F15" s="42">
        <f>D15</f>
        <v>0</v>
      </c>
      <c r="G15" s="43"/>
      <c r="H15" s="44"/>
      <c r="I15" s="45"/>
      <c r="J15" s="29"/>
      <c r="L15" s="40"/>
      <c r="N15" s="29"/>
    </row>
    <row r="16" spans="2:14" ht="15">
      <c r="B16" s="24" t="s">
        <v>20</v>
      </c>
      <c r="C16" s="25"/>
      <c r="D16" s="225">
        <v>0.22</v>
      </c>
      <c r="E16" s="27"/>
      <c r="F16" s="28">
        <f>D16</f>
        <v>0.22</v>
      </c>
      <c r="G16" s="46"/>
      <c r="H16" s="25"/>
      <c r="I16" s="47"/>
      <c r="J16" s="48">
        <f>27543.01+F16</f>
        <v>27543.23</v>
      </c>
      <c r="L16" s="26">
        <v>79.75</v>
      </c>
      <c r="M16" s="80">
        <f aca="true" t="shared" si="0" ref="M16:M25">L16+D16</f>
        <v>79.97</v>
      </c>
      <c r="N16" s="48">
        <f>27543.01+M16</f>
        <v>27622.98</v>
      </c>
    </row>
    <row r="17" spans="2:14" ht="25.5">
      <c r="B17" s="24" t="s">
        <v>21</v>
      </c>
      <c r="C17" s="25"/>
      <c r="D17" s="26"/>
      <c r="E17" s="27"/>
      <c r="F17" s="28">
        <f aca="true" t="shared" si="1" ref="F17:F23">D17</f>
        <v>0</v>
      </c>
      <c r="G17" s="46"/>
      <c r="H17" s="25"/>
      <c r="I17" s="47"/>
      <c r="J17" s="48">
        <f>32120.09+F17</f>
        <v>32120.09</v>
      </c>
      <c r="L17" s="26">
        <v>14</v>
      </c>
      <c r="M17" s="80">
        <f t="shared" si="0"/>
        <v>14</v>
      </c>
      <c r="N17" s="48">
        <f>32120.09+M17</f>
        <v>32134.09</v>
      </c>
    </row>
    <row r="18" spans="2:14" ht="25.5">
      <c r="B18" s="49" t="s">
        <v>22</v>
      </c>
      <c r="C18" s="25"/>
      <c r="D18" s="26"/>
      <c r="E18" s="27"/>
      <c r="F18" s="28">
        <f t="shared" si="1"/>
        <v>0</v>
      </c>
      <c r="G18" s="46"/>
      <c r="H18" s="25"/>
      <c r="I18" s="47"/>
      <c r="J18" s="48">
        <f>+F18</f>
        <v>0</v>
      </c>
      <c r="L18" s="26">
        <v>2500</v>
      </c>
      <c r="M18" s="80">
        <f t="shared" si="0"/>
        <v>2500</v>
      </c>
      <c r="N18" s="48">
        <f>+M18</f>
        <v>2500</v>
      </c>
    </row>
    <row r="19" spans="2:14" ht="25.5">
      <c r="B19" s="24" t="s">
        <v>23</v>
      </c>
      <c r="C19" s="25"/>
      <c r="D19" s="26"/>
      <c r="E19" s="27"/>
      <c r="F19" s="28">
        <f t="shared" si="1"/>
        <v>0</v>
      </c>
      <c r="G19" s="46"/>
      <c r="H19" s="25"/>
      <c r="I19" s="47"/>
      <c r="J19" s="48">
        <f>10198.46+F19</f>
        <v>10198.46</v>
      </c>
      <c r="L19" s="26">
        <v>1000</v>
      </c>
      <c r="M19" s="80">
        <f t="shared" si="0"/>
        <v>1000</v>
      </c>
      <c r="N19" s="48">
        <f>10198.46+M19</f>
        <v>11198.46</v>
      </c>
    </row>
    <row r="20" spans="2:14" ht="25.5">
      <c r="B20" s="24" t="s">
        <v>24</v>
      </c>
      <c r="C20" s="25"/>
      <c r="D20" s="225">
        <v>1480.07</v>
      </c>
      <c r="E20" s="27"/>
      <c r="F20" s="28">
        <f t="shared" si="1"/>
        <v>1480.07</v>
      </c>
      <c r="G20" s="46"/>
      <c r="H20" s="25"/>
      <c r="I20" s="47"/>
      <c r="J20" s="48">
        <f>12997.21+F20</f>
        <v>14477.279999999999</v>
      </c>
      <c r="L20" s="26">
        <v>1747.67</v>
      </c>
      <c r="M20" s="80">
        <f t="shared" si="0"/>
        <v>3227.74</v>
      </c>
      <c r="N20" s="48">
        <f>12997.21+M20</f>
        <v>16224.949999999999</v>
      </c>
    </row>
    <row r="21" spans="2:14" ht="15">
      <c r="B21" s="50" t="s">
        <v>25</v>
      </c>
      <c r="C21" s="25"/>
      <c r="D21" s="26">
        <v>0</v>
      </c>
      <c r="E21" s="27"/>
      <c r="F21" s="28">
        <f>D21</f>
        <v>0</v>
      </c>
      <c r="G21" s="46"/>
      <c r="H21" s="25"/>
      <c r="I21" s="47"/>
      <c r="J21" s="48">
        <v>0</v>
      </c>
      <c r="L21" s="26">
        <v>0</v>
      </c>
      <c r="M21" s="80">
        <f t="shared" si="0"/>
        <v>0</v>
      </c>
      <c r="N21" s="48">
        <v>0</v>
      </c>
    </row>
    <row r="22" spans="2:14" ht="15">
      <c r="B22" s="24" t="s">
        <v>26</v>
      </c>
      <c r="C22" s="25"/>
      <c r="D22" s="225">
        <v>18.4</v>
      </c>
      <c r="E22" s="27"/>
      <c r="F22" s="28">
        <f t="shared" si="1"/>
        <v>18.4</v>
      </c>
      <c r="G22" s="46"/>
      <c r="H22" s="25"/>
      <c r="I22" s="47"/>
      <c r="J22" s="48">
        <f>36.56+F22</f>
        <v>54.96</v>
      </c>
      <c r="L22" s="26">
        <v>0.08</v>
      </c>
      <c r="M22" s="80">
        <f t="shared" si="0"/>
        <v>18.479999999999997</v>
      </c>
      <c r="N22" s="48">
        <f>36.56+M22</f>
        <v>55.04</v>
      </c>
    </row>
    <row r="23" spans="2:14" ht="15">
      <c r="B23" s="24" t="s">
        <v>27</v>
      </c>
      <c r="C23" s="25"/>
      <c r="D23" s="225">
        <v>4.53</v>
      </c>
      <c r="E23" s="27"/>
      <c r="F23" s="28">
        <f t="shared" si="1"/>
        <v>4.53</v>
      </c>
      <c r="G23" s="46"/>
      <c r="H23" s="25"/>
      <c r="I23" s="47"/>
      <c r="J23" s="48">
        <f>55.47+F23</f>
        <v>60</v>
      </c>
      <c r="L23" s="26">
        <v>14.4</v>
      </c>
      <c r="M23" s="80">
        <f t="shared" si="0"/>
        <v>18.93</v>
      </c>
      <c r="N23" s="48">
        <f>55.47+M23</f>
        <v>74.4</v>
      </c>
    </row>
    <row r="24" spans="2:14" ht="15">
      <c r="B24" s="51" t="s">
        <v>28</v>
      </c>
      <c r="C24" s="52"/>
      <c r="D24" s="53">
        <f>SUM(D16:D23)</f>
        <v>1503.22</v>
      </c>
      <c r="E24" s="27"/>
      <c r="F24" s="28">
        <f>SUM(F15:F23)</f>
        <v>1503.22</v>
      </c>
      <c r="G24" s="54">
        <f>SUM(G15:G23)</f>
        <v>0</v>
      </c>
      <c r="H24" s="55"/>
      <c r="I24" s="56"/>
      <c r="J24" s="57">
        <f>SUM(J16:J23)</f>
        <v>84454.02</v>
      </c>
      <c r="L24" s="53">
        <f>SUM(L16:L23)</f>
        <v>5355.9</v>
      </c>
      <c r="M24" s="80">
        <f t="shared" si="0"/>
        <v>6859.12</v>
      </c>
      <c r="N24" s="57">
        <f>SUM(N16:N23)</f>
        <v>89809.91999999998</v>
      </c>
    </row>
    <row r="25" spans="2:14" ht="15">
      <c r="B25" s="58" t="s">
        <v>29</v>
      </c>
      <c r="C25" s="39"/>
      <c r="D25" s="42">
        <f>D14+D24</f>
        <v>24248.300000000003</v>
      </c>
      <c r="E25" s="59"/>
      <c r="F25" s="36">
        <f>F14+F24</f>
        <v>24248.300000000003</v>
      </c>
      <c r="G25" s="59">
        <f>G14+G24</f>
        <v>0</v>
      </c>
      <c r="H25" s="60">
        <f>H14+H24</f>
        <v>4800.95</v>
      </c>
      <c r="I25" s="36"/>
      <c r="J25" s="61">
        <f>J24</f>
        <v>84454.02</v>
      </c>
      <c r="L25" s="42">
        <f>L14+L24</f>
        <v>27515</v>
      </c>
      <c r="M25" s="80">
        <f t="shared" si="0"/>
        <v>51763.3</v>
      </c>
      <c r="N25" s="61">
        <f>N24</f>
        <v>89809.91999999998</v>
      </c>
    </row>
    <row r="26" spans="2:14" ht="15">
      <c r="B26" s="62" t="s">
        <v>30</v>
      </c>
      <c r="C26" s="63"/>
      <c r="D26" s="64"/>
      <c r="E26" s="65"/>
      <c r="F26" s="66"/>
      <c r="G26" s="65"/>
      <c r="H26" s="67"/>
      <c r="I26" s="55"/>
      <c r="J26" s="68"/>
      <c r="L26" s="64"/>
      <c r="N26" s="68"/>
    </row>
    <row r="27" spans="2:14" ht="15">
      <c r="B27" s="50" t="s">
        <v>31</v>
      </c>
      <c r="C27" s="25"/>
      <c r="D27" s="26"/>
      <c r="E27" s="27"/>
      <c r="F27" s="26"/>
      <c r="G27" s="27"/>
      <c r="H27" s="69"/>
      <c r="I27" s="28"/>
      <c r="J27" s="48"/>
      <c r="L27" s="26"/>
      <c r="N27" s="48"/>
    </row>
    <row r="28" spans="2:14" ht="15">
      <c r="B28" s="70" t="s">
        <v>32</v>
      </c>
      <c r="C28" s="25"/>
      <c r="D28" s="26"/>
      <c r="E28" s="27"/>
      <c r="F28" s="26"/>
      <c r="G28" s="27"/>
      <c r="H28" s="69"/>
      <c r="I28" s="28"/>
      <c r="J28" s="48"/>
      <c r="L28" s="26"/>
      <c r="N28" s="48"/>
    </row>
    <row r="29" spans="2:14" s="71" customFormat="1" ht="15">
      <c r="B29" s="72" t="s">
        <v>33</v>
      </c>
      <c r="C29" s="73">
        <f>E29/4</f>
        <v>1323.25</v>
      </c>
      <c r="D29" s="225">
        <v>0.22</v>
      </c>
      <c r="E29" s="75">
        <v>5293</v>
      </c>
      <c r="F29" s="74">
        <f>D29</f>
        <v>0.22</v>
      </c>
      <c r="G29" s="75">
        <v>5442</v>
      </c>
      <c r="H29" s="76">
        <f>F29+227.97</f>
        <v>228.19</v>
      </c>
      <c r="I29" s="77">
        <f aca="true" t="shared" si="2" ref="I29:I41">G29-H29</f>
        <v>5213.81</v>
      </c>
      <c r="J29" s="78">
        <f>26521.71+F29</f>
        <v>26521.93</v>
      </c>
      <c r="K29" s="3"/>
      <c r="L29" s="74">
        <v>79.75</v>
      </c>
      <c r="N29" s="78">
        <f>26521.71+M29</f>
        <v>26521.71</v>
      </c>
    </row>
    <row r="30" spans="2:14" ht="15">
      <c r="B30" s="70" t="s">
        <v>34</v>
      </c>
      <c r="C30" s="25"/>
      <c r="D30" s="26"/>
      <c r="E30" s="27"/>
      <c r="F30" s="74">
        <f aca="true" t="shared" si="3" ref="F30:F44">D30</f>
        <v>0</v>
      </c>
      <c r="G30" s="27"/>
      <c r="H30" s="76">
        <f aca="true" t="shared" si="4" ref="H30:H37">F30</f>
        <v>0</v>
      </c>
      <c r="I30" s="28">
        <f t="shared" si="2"/>
        <v>0</v>
      </c>
      <c r="J30" s="29"/>
      <c r="L30" s="26"/>
      <c r="M30" s="79"/>
      <c r="N30" s="29"/>
    </row>
    <row r="31" spans="2:14" ht="15">
      <c r="B31" s="24" t="s">
        <v>35</v>
      </c>
      <c r="C31" s="25">
        <f>E31/4</f>
        <v>0</v>
      </c>
      <c r="D31" s="225">
        <v>208.05</v>
      </c>
      <c r="E31" s="27"/>
      <c r="F31" s="74">
        <f t="shared" si="3"/>
        <v>208.05</v>
      </c>
      <c r="G31" s="27">
        <v>12666.9</v>
      </c>
      <c r="H31" s="76">
        <f>F31+789.9</f>
        <v>997.95</v>
      </c>
      <c r="I31" s="28">
        <f t="shared" si="2"/>
        <v>11668.949999999999</v>
      </c>
      <c r="J31" s="29">
        <f>11833.46+F31</f>
        <v>12041.509999999998</v>
      </c>
      <c r="L31" s="26">
        <v>107.63</v>
      </c>
      <c r="M31" s="79"/>
      <c r="N31" s="29">
        <f>11833.46+M31</f>
        <v>11833.46</v>
      </c>
    </row>
    <row r="32" spans="2:14" ht="15">
      <c r="B32" s="24" t="s">
        <v>36</v>
      </c>
      <c r="C32" s="25"/>
      <c r="D32" s="26"/>
      <c r="E32" s="27"/>
      <c r="F32" s="74">
        <f t="shared" si="3"/>
        <v>0</v>
      </c>
      <c r="G32" s="27">
        <v>1306.9</v>
      </c>
      <c r="H32" s="76"/>
      <c r="I32" s="28">
        <f t="shared" si="2"/>
        <v>1306.9</v>
      </c>
      <c r="J32" s="29"/>
      <c r="L32" s="26"/>
      <c r="M32" s="79"/>
      <c r="N32" s="29"/>
    </row>
    <row r="33" spans="2:14" ht="15">
      <c r="B33" s="24" t="s">
        <v>37</v>
      </c>
      <c r="C33" s="25"/>
      <c r="D33" s="26"/>
      <c r="E33" s="27"/>
      <c r="F33" s="74">
        <f t="shared" si="3"/>
        <v>0</v>
      </c>
      <c r="G33" s="27"/>
      <c r="H33" s="76">
        <f t="shared" si="4"/>
        <v>0</v>
      </c>
      <c r="I33" s="28">
        <f t="shared" si="2"/>
        <v>0</v>
      </c>
      <c r="J33" s="29">
        <f>14.24+F33</f>
        <v>14.24</v>
      </c>
      <c r="L33" s="26"/>
      <c r="M33" s="79"/>
      <c r="N33" s="29">
        <f>14.24+M33</f>
        <v>14.24</v>
      </c>
    </row>
    <row r="34" spans="2:14" ht="15">
      <c r="B34" s="24" t="s">
        <v>38</v>
      </c>
      <c r="C34" s="25"/>
      <c r="D34" s="26"/>
      <c r="E34" s="27"/>
      <c r="F34" s="74">
        <f t="shared" si="3"/>
        <v>0</v>
      </c>
      <c r="G34" s="27"/>
      <c r="H34" s="76">
        <f t="shared" si="4"/>
        <v>0</v>
      </c>
      <c r="I34" s="28">
        <f t="shared" si="2"/>
        <v>0</v>
      </c>
      <c r="J34" s="29">
        <f>223.25+F34</f>
        <v>223.25</v>
      </c>
      <c r="L34" s="26"/>
      <c r="M34" s="81"/>
      <c r="N34" s="29">
        <f>223.25+M34</f>
        <v>223.25</v>
      </c>
    </row>
    <row r="35" spans="2:14" ht="30">
      <c r="B35" s="82" t="s">
        <v>39</v>
      </c>
      <c r="C35" s="25"/>
      <c r="D35" s="225"/>
      <c r="E35" s="27"/>
      <c r="F35" s="74">
        <f t="shared" si="3"/>
        <v>0</v>
      </c>
      <c r="G35" s="27">
        <v>9922.82</v>
      </c>
      <c r="H35" s="76">
        <f>F35+2896.7</f>
        <v>2896.7</v>
      </c>
      <c r="I35" s="28">
        <f t="shared" si="2"/>
        <v>7026.12</v>
      </c>
      <c r="J35" s="48">
        <f>2896.7+F35</f>
        <v>2896.7</v>
      </c>
      <c r="L35" s="26">
        <v>2490.58</v>
      </c>
      <c r="N35" s="48">
        <f>2896.7+M35</f>
        <v>2896.7</v>
      </c>
    </row>
    <row r="36" spans="2:14" ht="15">
      <c r="B36" s="82" t="s">
        <v>40</v>
      </c>
      <c r="C36" s="25"/>
      <c r="D36" s="26"/>
      <c r="E36" s="27"/>
      <c r="F36" s="74">
        <f t="shared" si="3"/>
        <v>0</v>
      </c>
      <c r="G36" s="27"/>
      <c r="H36" s="76">
        <f t="shared" si="4"/>
        <v>0</v>
      </c>
      <c r="I36" s="28">
        <f t="shared" si="2"/>
        <v>0</v>
      </c>
      <c r="J36" s="48"/>
      <c r="L36" s="26"/>
      <c r="N36" s="48"/>
    </row>
    <row r="37" spans="2:14" ht="15">
      <c r="B37" s="83" t="s">
        <v>41</v>
      </c>
      <c r="C37" s="25">
        <f>E37/4</f>
        <v>1545.25</v>
      </c>
      <c r="D37" s="26"/>
      <c r="E37" s="27">
        <v>6181</v>
      </c>
      <c r="F37" s="74">
        <f t="shared" si="3"/>
        <v>0</v>
      </c>
      <c r="G37" s="27"/>
      <c r="H37" s="76">
        <f t="shared" si="4"/>
        <v>0</v>
      </c>
      <c r="I37" s="28">
        <f t="shared" si="2"/>
        <v>0</v>
      </c>
      <c r="J37" s="48"/>
      <c r="L37" s="26"/>
      <c r="N37" s="48"/>
    </row>
    <row r="38" spans="2:14" ht="25.5">
      <c r="B38" s="24" t="s">
        <v>42</v>
      </c>
      <c r="C38" s="25"/>
      <c r="D38" s="225">
        <v>171.67</v>
      </c>
      <c r="E38" s="27"/>
      <c r="F38" s="74">
        <f t="shared" si="3"/>
        <v>171.67</v>
      </c>
      <c r="G38" s="27">
        <v>6033.3</v>
      </c>
      <c r="H38" s="76">
        <f>F38+193.96</f>
        <v>365.63</v>
      </c>
      <c r="I38" s="28">
        <f t="shared" si="2"/>
        <v>5667.67</v>
      </c>
      <c r="J38" s="48">
        <f>2087.76+F38</f>
        <v>2259.4300000000003</v>
      </c>
      <c r="L38" s="26">
        <v>162.22</v>
      </c>
      <c r="M38" s="84"/>
      <c r="N38" s="48">
        <f>2087.76+M38</f>
        <v>2087.76</v>
      </c>
    </row>
    <row r="39" spans="2:14" ht="15">
      <c r="B39" s="24" t="s">
        <v>43</v>
      </c>
      <c r="C39" s="25"/>
      <c r="D39" s="225">
        <v>24.94</v>
      </c>
      <c r="E39" s="27"/>
      <c r="F39" s="74">
        <f t="shared" si="3"/>
        <v>24.94</v>
      </c>
      <c r="G39" s="27">
        <v>1825.64</v>
      </c>
      <c r="H39" s="76">
        <f>F39+222.11</f>
        <v>247.05</v>
      </c>
      <c r="I39" s="28">
        <f t="shared" si="2"/>
        <v>1578.5900000000001</v>
      </c>
      <c r="J39" s="48">
        <f>838.5+F39</f>
        <v>863.44</v>
      </c>
      <c r="L39" s="26">
        <v>54.08</v>
      </c>
      <c r="M39" s="84"/>
      <c r="N39" s="48">
        <f>838.5+M39</f>
        <v>838.5</v>
      </c>
    </row>
    <row r="40" spans="2:14" ht="15">
      <c r="B40" s="24" t="s">
        <v>44</v>
      </c>
      <c r="C40" s="25"/>
      <c r="D40" s="26">
        <v>0</v>
      </c>
      <c r="E40" s="27"/>
      <c r="F40" s="74">
        <f t="shared" si="3"/>
        <v>0</v>
      </c>
      <c r="G40" s="27">
        <f>1418.1-332.7</f>
        <v>1085.3999999999999</v>
      </c>
      <c r="H40" s="76">
        <f>F40+209.64</f>
        <v>209.64</v>
      </c>
      <c r="I40" s="28">
        <f t="shared" si="2"/>
        <v>875.7599999999999</v>
      </c>
      <c r="J40" s="48">
        <f>F40+960.43</f>
        <v>960.43</v>
      </c>
      <c r="L40" s="26">
        <v>13.73</v>
      </c>
      <c r="M40" s="84"/>
      <c r="N40" s="48">
        <f>M40+960.43</f>
        <v>960.43</v>
      </c>
    </row>
    <row r="41" spans="2:14" ht="15">
      <c r="B41" s="24" t="s">
        <v>45</v>
      </c>
      <c r="C41" s="25"/>
      <c r="D41" s="225">
        <v>2.96</v>
      </c>
      <c r="E41" s="27"/>
      <c r="F41" s="74">
        <f t="shared" si="3"/>
        <v>2.96</v>
      </c>
      <c r="G41" s="27">
        <v>1551.58</v>
      </c>
      <c r="H41" s="76">
        <f>F41+67.31</f>
        <v>70.27</v>
      </c>
      <c r="I41" s="28">
        <f t="shared" si="2"/>
        <v>1481.31</v>
      </c>
      <c r="J41" s="48">
        <f>F41+242.62</f>
        <v>245.58</v>
      </c>
      <c r="L41" s="26">
        <v>0.34</v>
      </c>
      <c r="M41" s="84"/>
      <c r="N41" s="48">
        <f>M41+242.62</f>
        <v>242.62</v>
      </c>
    </row>
    <row r="42" spans="2:14" ht="15">
      <c r="B42" s="83" t="s">
        <v>46</v>
      </c>
      <c r="C42" s="282">
        <f>E42/4</f>
        <v>2108.75</v>
      </c>
      <c r="D42" s="225">
        <v>61.09</v>
      </c>
      <c r="E42" s="284">
        <v>8435</v>
      </c>
      <c r="F42" s="74">
        <f t="shared" si="3"/>
        <v>61.09</v>
      </c>
      <c r="G42" s="284">
        <f>24159.12-1218.88</f>
        <v>22940.239999999998</v>
      </c>
      <c r="H42" s="76">
        <f>F42+137.87</f>
        <v>198.96</v>
      </c>
      <c r="I42" s="285">
        <f>G42-H42-H43-H44</f>
        <v>18439.99</v>
      </c>
      <c r="J42" s="48">
        <f>F42+919.54</f>
        <v>980.63</v>
      </c>
      <c r="L42" s="26">
        <v>41.34</v>
      </c>
      <c r="M42" s="84"/>
      <c r="N42" s="48">
        <f>M42+919.54</f>
        <v>919.54</v>
      </c>
    </row>
    <row r="43" spans="2:14" ht="25.5">
      <c r="B43" s="85" t="s">
        <v>47</v>
      </c>
      <c r="C43" s="283"/>
      <c r="D43" s="225">
        <v>1480.07</v>
      </c>
      <c r="E43" s="283"/>
      <c r="F43" s="74">
        <f t="shared" si="3"/>
        <v>1480.07</v>
      </c>
      <c r="G43" s="284"/>
      <c r="H43" s="76">
        <f>F43+2366.99</f>
        <v>3847.0599999999995</v>
      </c>
      <c r="I43" s="286"/>
      <c r="J43" s="48">
        <f>10426.31+F43</f>
        <v>11906.38</v>
      </c>
      <c r="L43" s="26">
        <v>1747.67</v>
      </c>
      <c r="M43" s="84"/>
      <c r="N43" s="48">
        <f>10426.31+M43</f>
        <v>10426.31</v>
      </c>
    </row>
    <row r="44" spans="2:14" ht="15">
      <c r="B44" s="85" t="s">
        <v>48</v>
      </c>
      <c r="C44" s="282"/>
      <c r="D44" s="225">
        <v>60.62</v>
      </c>
      <c r="E44" s="284"/>
      <c r="F44" s="74">
        <f t="shared" si="3"/>
        <v>60.62</v>
      </c>
      <c r="G44" s="284"/>
      <c r="H44" s="76">
        <f>F44+393.61</f>
        <v>454.23</v>
      </c>
      <c r="I44" s="286"/>
      <c r="J44" s="48">
        <f>F44+499.89</f>
        <v>560.51</v>
      </c>
      <c r="L44" s="26">
        <v>58.22</v>
      </c>
      <c r="M44" s="84"/>
      <c r="N44" s="48">
        <f>M44+499.89</f>
        <v>499.89</v>
      </c>
    </row>
    <row r="45" spans="2:14" ht="15">
      <c r="B45" s="83" t="s">
        <v>49</v>
      </c>
      <c r="C45" s="25"/>
      <c r="D45" s="26">
        <f>SUM(D38:D44)</f>
        <v>1801.35</v>
      </c>
      <c r="E45" s="27"/>
      <c r="F45" s="26">
        <f>SUM(F38:F44)</f>
        <v>1801.35</v>
      </c>
      <c r="G45" s="28"/>
      <c r="H45" s="28">
        <f>SUM(H38:H44)</f>
        <v>5392.84</v>
      </c>
      <c r="I45" s="28"/>
      <c r="J45" s="48">
        <f>SUM(J38:J44)</f>
        <v>17776.399999999998</v>
      </c>
      <c r="L45" s="26">
        <f>SUM(L38:L44)</f>
        <v>2077.6</v>
      </c>
      <c r="M45" s="84"/>
      <c r="N45" s="48">
        <f>SUM(N38:N44)</f>
        <v>15975.05</v>
      </c>
    </row>
    <row r="46" spans="2:14" ht="15">
      <c r="B46" s="86" t="s">
        <v>50</v>
      </c>
      <c r="C46" s="63"/>
      <c r="D46" s="64"/>
      <c r="E46" s="87"/>
      <c r="F46" s="64"/>
      <c r="G46" s="87"/>
      <c r="H46" s="63"/>
      <c r="I46" s="60"/>
      <c r="J46" s="68">
        <v>-60.99</v>
      </c>
      <c r="L46" s="64"/>
      <c r="M46" s="84"/>
      <c r="N46" s="68">
        <v>-60.99</v>
      </c>
    </row>
    <row r="47" spans="2:14" ht="16.5" customHeight="1">
      <c r="B47" s="88" t="s">
        <v>51</v>
      </c>
      <c r="C47" s="89">
        <f>C29+C31+C37+C42</f>
        <v>4977.25</v>
      </c>
      <c r="D47" s="90">
        <f>D29+D30+D35+D45+D31</f>
        <v>2009.62</v>
      </c>
      <c r="E47" s="91">
        <f>E29+E31+E37+E42</f>
        <v>19909</v>
      </c>
      <c r="F47" s="92">
        <f>F29+F30+F35+F45+F31+F46</f>
        <v>2009.62</v>
      </c>
      <c r="G47" s="91">
        <f>G29+G30+G45+G31+G46+G38+G39+G40+G42+G35+G32+G41</f>
        <v>62774.78</v>
      </c>
      <c r="H47" s="92">
        <f>H29+H30+H35+H31+H45+H46</f>
        <v>9515.68</v>
      </c>
      <c r="I47" s="93">
        <f>SUM(I29:I46)</f>
        <v>53259.09999999999</v>
      </c>
      <c r="J47" s="94">
        <f>J29+J30+J31+J35+J33+J34+J45+J46</f>
        <v>59413.04</v>
      </c>
      <c r="L47" s="90">
        <f>L29+L30+L35+L45+L31</f>
        <v>4755.56</v>
      </c>
      <c r="M47" s="80"/>
      <c r="N47" s="94">
        <f>N29+N30+N31+N35+N33+N34+N45+N46</f>
        <v>57403.41999999999</v>
      </c>
    </row>
    <row r="48" spans="2:14" ht="25.5">
      <c r="B48" s="88" t="s">
        <v>52</v>
      </c>
      <c r="C48" s="52"/>
      <c r="D48" s="53"/>
      <c r="E48" s="27"/>
      <c r="F48" s="28"/>
      <c r="G48" s="43"/>
      <c r="H48" s="95"/>
      <c r="I48" s="45"/>
      <c r="J48" s="57">
        <v>1448.05</v>
      </c>
      <c r="L48" s="53"/>
      <c r="N48" s="57">
        <v>1448.05</v>
      </c>
    </row>
    <row r="49" spans="2:14" ht="15">
      <c r="B49" s="38" t="s">
        <v>53</v>
      </c>
      <c r="C49" s="39"/>
      <c r="D49" s="42"/>
      <c r="E49" s="43"/>
      <c r="F49" s="44"/>
      <c r="G49" s="43"/>
      <c r="H49" s="95"/>
      <c r="I49" s="45"/>
      <c r="J49" s="96"/>
      <c r="L49" s="42"/>
      <c r="N49" s="96"/>
    </row>
    <row r="50" spans="2:14" ht="15">
      <c r="B50" s="24" t="s">
        <v>54</v>
      </c>
      <c r="C50" s="25"/>
      <c r="D50" s="28">
        <v>2439.07</v>
      </c>
      <c r="E50" s="46"/>
      <c r="F50" s="28">
        <f>D50</f>
        <v>2439.07</v>
      </c>
      <c r="G50" s="46"/>
      <c r="H50" s="25">
        <f>1.43+F50</f>
        <v>2440.5</v>
      </c>
      <c r="I50" s="47"/>
      <c r="J50" s="47">
        <f>1547.7+F50</f>
        <v>3986.7700000000004</v>
      </c>
      <c r="L50" s="28">
        <v>14.36</v>
      </c>
      <c r="N50" s="47">
        <f>1547.7+M50</f>
        <v>1547.7</v>
      </c>
    </row>
    <row r="51" spans="2:14" ht="15">
      <c r="B51" s="24" t="s">
        <v>55</v>
      </c>
      <c r="C51" s="25"/>
      <c r="D51" s="28">
        <v>0</v>
      </c>
      <c r="E51" s="46"/>
      <c r="F51" s="28">
        <f>D51</f>
        <v>0</v>
      </c>
      <c r="G51" s="46"/>
      <c r="H51" s="25"/>
      <c r="I51" s="47"/>
      <c r="J51" s="47">
        <v>0</v>
      </c>
      <c r="L51" s="28">
        <v>0</v>
      </c>
      <c r="N51" s="47">
        <v>0</v>
      </c>
    </row>
    <row r="52" spans="2:14" ht="15">
      <c r="B52" s="24" t="s">
        <v>56</v>
      </c>
      <c r="C52" s="25"/>
      <c r="D52" s="28"/>
      <c r="E52" s="46"/>
      <c r="F52" s="28"/>
      <c r="G52" s="46"/>
      <c r="H52" s="25"/>
      <c r="I52" s="47"/>
      <c r="J52" s="47">
        <v>392.53</v>
      </c>
      <c r="L52" s="28"/>
      <c r="N52" s="47">
        <v>392.53</v>
      </c>
    </row>
    <row r="53" spans="2:14" ht="15">
      <c r="B53" s="97" t="s">
        <v>57</v>
      </c>
      <c r="C53" s="52"/>
      <c r="D53" s="98">
        <f>SUM(D50:D52)</f>
        <v>2439.07</v>
      </c>
      <c r="E53" s="54"/>
      <c r="F53" s="55">
        <f>SUM(F50:F51)</f>
        <v>2439.07</v>
      </c>
      <c r="G53" s="54">
        <f>SUM(G50:G51)</f>
        <v>0</v>
      </c>
      <c r="H53" s="55">
        <f>SUM(H50:H51)</f>
        <v>2440.5</v>
      </c>
      <c r="I53" s="56"/>
      <c r="J53" s="99">
        <f>SUM(J50:J52)</f>
        <v>4379.3</v>
      </c>
      <c r="L53" s="98">
        <f>SUM(L50:L51)</f>
        <v>14.36</v>
      </c>
      <c r="N53" s="99">
        <f>SUM(N50:N52)</f>
        <v>1940.23</v>
      </c>
    </row>
    <row r="54" spans="2:14" ht="15">
      <c r="B54" s="100" t="s">
        <v>58</v>
      </c>
      <c r="C54" s="25"/>
      <c r="D54" s="26"/>
      <c r="E54" s="27"/>
      <c r="F54" s="26"/>
      <c r="G54" s="27"/>
      <c r="H54" s="69"/>
      <c r="I54" s="28"/>
      <c r="J54" s="48"/>
      <c r="L54" s="26"/>
      <c r="N54" s="48"/>
    </row>
    <row r="55" spans="2:14" ht="15">
      <c r="B55" s="24" t="s">
        <v>59</v>
      </c>
      <c r="C55" s="25"/>
      <c r="D55" s="225"/>
      <c r="E55" s="27"/>
      <c r="F55" s="26"/>
      <c r="G55" s="27"/>
      <c r="H55" s="69"/>
      <c r="I55" s="28"/>
      <c r="J55" s="48"/>
      <c r="L55" s="26"/>
      <c r="N55" s="48"/>
    </row>
    <row r="56" spans="2:14" ht="15">
      <c r="B56" s="24" t="s">
        <v>60</v>
      </c>
      <c r="C56" s="25"/>
      <c r="D56" s="225"/>
      <c r="E56" s="27"/>
      <c r="F56" s="26"/>
      <c r="G56" s="27"/>
      <c r="H56" s="69"/>
      <c r="I56" s="28"/>
      <c r="J56" s="48"/>
      <c r="L56" s="26"/>
      <c r="N56" s="48"/>
    </row>
    <row r="57" spans="2:14" ht="15">
      <c r="B57" s="24" t="s">
        <v>61</v>
      </c>
      <c r="C57" s="25"/>
      <c r="D57" s="225">
        <v>16115.73</v>
      </c>
      <c r="E57" s="27"/>
      <c r="F57" s="26">
        <f>D57</f>
        <v>16115.73</v>
      </c>
      <c r="G57" s="27"/>
      <c r="H57" s="69">
        <f>F57</f>
        <v>16115.73</v>
      </c>
      <c r="I57" s="28"/>
      <c r="J57" s="48">
        <f>F57</f>
        <v>16115.73</v>
      </c>
      <c r="L57" s="26">
        <v>18554.8</v>
      </c>
      <c r="N57" s="48">
        <f>M57</f>
        <v>0</v>
      </c>
    </row>
    <row r="58" spans="2:14" ht="15">
      <c r="B58" s="24" t="s">
        <v>62</v>
      </c>
      <c r="C58" s="25"/>
      <c r="D58" s="225">
        <v>2616.68</v>
      </c>
      <c r="E58" s="27"/>
      <c r="F58" s="26">
        <f>D58</f>
        <v>2616.68</v>
      </c>
      <c r="G58" s="27"/>
      <c r="H58" s="69">
        <f>F58</f>
        <v>2616.68</v>
      </c>
      <c r="I58" s="28"/>
      <c r="J58" s="48">
        <f>F58</f>
        <v>2616.68</v>
      </c>
      <c r="L58" s="26">
        <v>2821.51</v>
      </c>
      <c r="N58" s="48">
        <f>M58</f>
        <v>0</v>
      </c>
    </row>
    <row r="59" spans="2:14" ht="15">
      <c r="B59" s="24" t="s">
        <v>63</v>
      </c>
      <c r="C59" s="25"/>
      <c r="D59" s="225">
        <v>468.74</v>
      </c>
      <c r="E59" s="27"/>
      <c r="F59" s="26">
        <f>D59</f>
        <v>468.74</v>
      </c>
      <c r="G59" s="27"/>
      <c r="H59" s="69">
        <f>F59</f>
        <v>468.74</v>
      </c>
      <c r="I59" s="28"/>
      <c r="J59" s="48">
        <f>F59</f>
        <v>468.74</v>
      </c>
      <c r="L59" s="26">
        <v>176.38</v>
      </c>
      <c r="N59" s="48">
        <f>M59</f>
        <v>0</v>
      </c>
    </row>
    <row r="60" spans="2:14" ht="15">
      <c r="B60" s="24" t="s">
        <v>64</v>
      </c>
      <c r="C60" s="25"/>
      <c r="D60" s="225">
        <v>598.46</v>
      </c>
      <c r="E60" s="27"/>
      <c r="F60" s="26">
        <f>D60</f>
        <v>598.46</v>
      </c>
      <c r="G60" s="27"/>
      <c r="H60" s="69">
        <f>F60</f>
        <v>598.46</v>
      </c>
      <c r="I60" s="28"/>
      <c r="J60" s="48">
        <f>F60</f>
        <v>598.46</v>
      </c>
      <c r="L60" s="26">
        <v>1192.39</v>
      </c>
      <c r="N60" s="48">
        <f>M60</f>
        <v>0</v>
      </c>
    </row>
    <row r="61" spans="2:14" ht="15">
      <c r="B61" s="101" t="s">
        <v>65</v>
      </c>
      <c r="C61" s="32"/>
      <c r="D61" s="33">
        <f>SUM(D57:D60)</f>
        <v>19799.61</v>
      </c>
      <c r="E61" s="33">
        <f>SUM(E57:E60)</f>
        <v>0</v>
      </c>
      <c r="F61" s="33">
        <f>SUM(F57:F60)</f>
        <v>19799.61</v>
      </c>
      <c r="G61" s="33">
        <f>SUM(G57:G60)</f>
        <v>0</v>
      </c>
      <c r="H61" s="33">
        <f>SUM(H57:H60)</f>
        <v>19799.61</v>
      </c>
      <c r="I61" s="36"/>
      <c r="J61" s="102">
        <f>F61</f>
        <v>19799.61</v>
      </c>
      <c r="L61" s="33">
        <f>SUM(L57:L60)</f>
        <v>22745.079999999998</v>
      </c>
      <c r="N61" s="102">
        <f>M61</f>
        <v>0</v>
      </c>
    </row>
    <row r="62" spans="2:14" ht="15">
      <c r="B62" s="103" t="s">
        <v>66</v>
      </c>
      <c r="C62" s="52"/>
      <c r="D62" s="98">
        <f>D47+D53+D61</f>
        <v>24248.300000000003</v>
      </c>
      <c r="E62" s="59"/>
      <c r="F62" s="36">
        <f>F47+F53+F61</f>
        <v>24248.300000000003</v>
      </c>
      <c r="G62" s="59">
        <f>G47+G53+G61</f>
        <v>62774.78</v>
      </c>
      <c r="H62" s="60">
        <f>H47+H53+H61</f>
        <v>31755.79</v>
      </c>
      <c r="I62" s="36"/>
      <c r="J62" s="104">
        <f>J47+J48+J53+J61</f>
        <v>85040</v>
      </c>
      <c r="L62" s="98">
        <f>L47+L53+L61</f>
        <v>27515</v>
      </c>
      <c r="N62" s="104">
        <f>N47+N48+N53+N61</f>
        <v>60791.7</v>
      </c>
    </row>
    <row r="63" spans="2:14" ht="15.75">
      <c r="B63" s="215" t="s">
        <v>67</v>
      </c>
      <c r="J63" s="105"/>
      <c r="N63" s="105"/>
    </row>
    <row r="64" spans="2:14" ht="30.75" customHeight="1">
      <c r="B64" s="216" t="s">
        <v>68</v>
      </c>
      <c r="C64" s="217" t="s">
        <v>69</v>
      </c>
      <c r="D64" s="287" t="s">
        <v>70</v>
      </c>
      <c r="E64" s="287"/>
      <c r="F64" s="287" t="s">
        <v>71</v>
      </c>
      <c r="G64" s="287"/>
      <c r="H64" s="287" t="s">
        <v>72</v>
      </c>
      <c r="I64" s="287"/>
      <c r="J64" s="105"/>
      <c r="N64" s="105"/>
    </row>
    <row r="65" spans="2:14" ht="15">
      <c r="B65" s="70"/>
      <c r="C65" s="106"/>
      <c r="D65" s="301"/>
      <c r="E65" s="301"/>
      <c r="F65" s="289"/>
      <c r="G65" s="289"/>
      <c r="H65" s="289"/>
      <c r="I65" s="289"/>
      <c r="J65" s="105"/>
      <c r="N65" s="105"/>
    </row>
    <row r="66" spans="2:14" ht="99.75" customHeight="1">
      <c r="B66" s="210" t="s">
        <v>73</v>
      </c>
      <c r="C66" s="211">
        <v>1</v>
      </c>
      <c r="D66" s="290">
        <f>D47</f>
        <v>2009.62</v>
      </c>
      <c r="E66" s="290"/>
      <c r="F66" s="291">
        <v>90</v>
      </c>
      <c r="G66" s="291"/>
      <c r="H66" s="290">
        <f>D66*F66%</f>
        <v>1808.658</v>
      </c>
      <c r="I66" s="290"/>
      <c r="J66" s="105"/>
      <c r="N66" s="105"/>
    </row>
    <row r="67" spans="2:14" ht="17.25">
      <c r="B67" s="213" t="s">
        <v>74</v>
      </c>
      <c r="C67" s="212"/>
      <c r="D67" s="293">
        <f>SUM(D66)</f>
        <v>2009.62</v>
      </c>
      <c r="E67" s="293"/>
      <c r="F67" s="294">
        <v>0</v>
      </c>
      <c r="G67" s="294"/>
      <c r="H67" s="293">
        <f>SUM(H66)</f>
        <v>1808.658</v>
      </c>
      <c r="I67" s="293"/>
      <c r="J67" s="107"/>
      <c r="N67" s="107"/>
    </row>
    <row r="68" ht="18.75">
      <c r="B68" s="214" t="s">
        <v>75</v>
      </c>
    </row>
    <row r="69" spans="1:10" s="208" customFormat="1" ht="39" customHeight="1">
      <c r="A69" s="207">
        <v>1</v>
      </c>
      <c r="B69" s="292" t="s">
        <v>126</v>
      </c>
      <c r="C69" s="292"/>
      <c r="D69" s="292"/>
      <c r="E69" s="292"/>
      <c r="F69" s="292"/>
      <c r="G69" s="292"/>
      <c r="H69" s="292"/>
      <c r="I69" s="292"/>
      <c r="J69" s="292"/>
    </row>
    <row r="70" spans="1:10" s="208" customFormat="1" ht="27.75" customHeight="1">
      <c r="A70" s="207">
        <v>2</v>
      </c>
      <c r="B70" s="292" t="s">
        <v>123</v>
      </c>
      <c r="C70" s="292"/>
      <c r="D70" s="292"/>
      <c r="E70" s="292"/>
      <c r="F70" s="292"/>
      <c r="G70" s="292"/>
      <c r="H70" s="292"/>
      <c r="I70" s="292"/>
      <c r="J70" s="292"/>
    </row>
    <row r="71" spans="1:9" s="208" customFormat="1" ht="28.5" customHeight="1">
      <c r="A71" s="207">
        <v>3</v>
      </c>
      <c r="B71" s="292" t="s">
        <v>76</v>
      </c>
      <c r="C71" s="292"/>
      <c r="D71" s="292"/>
      <c r="E71" s="292"/>
      <c r="F71" s="292"/>
      <c r="G71" s="292"/>
      <c r="H71" s="292"/>
      <c r="I71" s="292"/>
    </row>
    <row r="72" spans="1:10" s="208" customFormat="1" ht="44.25" customHeight="1">
      <c r="A72" s="207">
        <v>4</v>
      </c>
      <c r="B72" s="292" t="s">
        <v>77</v>
      </c>
      <c r="C72" s="292"/>
      <c r="D72" s="292"/>
      <c r="E72" s="292"/>
      <c r="F72" s="292"/>
      <c r="G72" s="292"/>
      <c r="H72" s="292"/>
      <c r="I72" s="292"/>
      <c r="J72" s="292"/>
    </row>
    <row r="73" spans="1:10" s="208" customFormat="1" ht="84" customHeight="1">
      <c r="A73" s="207">
        <v>5</v>
      </c>
      <c r="B73" s="292" t="s">
        <v>129</v>
      </c>
      <c r="C73" s="292"/>
      <c r="D73" s="292"/>
      <c r="E73" s="292"/>
      <c r="F73" s="292"/>
      <c r="G73" s="292"/>
      <c r="H73" s="292"/>
      <c r="I73" s="292"/>
      <c r="J73" s="292"/>
    </row>
    <row r="74" spans="1:10" s="208" customFormat="1" ht="69" customHeight="1">
      <c r="A74" s="207">
        <v>6</v>
      </c>
      <c r="B74" s="292" t="s">
        <v>130</v>
      </c>
      <c r="C74" s="292"/>
      <c r="D74" s="292"/>
      <c r="E74" s="292"/>
      <c r="F74" s="292"/>
      <c r="G74" s="292"/>
      <c r="H74" s="292"/>
      <c r="I74" s="292"/>
      <c r="J74" s="292"/>
    </row>
    <row r="75" spans="1:10" s="208" customFormat="1" ht="81" customHeight="1">
      <c r="A75" s="207">
        <v>7</v>
      </c>
      <c r="B75" s="292" t="s">
        <v>131</v>
      </c>
      <c r="C75" s="292"/>
      <c r="D75" s="292"/>
      <c r="E75" s="292"/>
      <c r="F75" s="292"/>
      <c r="G75" s="292"/>
      <c r="H75" s="292"/>
      <c r="I75" s="292"/>
      <c r="J75" s="292"/>
    </row>
    <row r="76" spans="1:10" s="208" customFormat="1" ht="58.5" customHeight="1">
      <c r="A76" s="207">
        <v>8</v>
      </c>
      <c r="B76" s="292" t="s">
        <v>127</v>
      </c>
      <c r="C76" s="292"/>
      <c r="D76" s="292"/>
      <c r="E76" s="292"/>
      <c r="F76" s="292"/>
      <c r="G76" s="292"/>
      <c r="H76" s="292"/>
      <c r="I76" s="292"/>
      <c r="J76" s="292"/>
    </row>
    <row r="77" spans="1:10" s="208" customFormat="1" ht="86.25" customHeight="1">
      <c r="A77" s="207">
        <v>9</v>
      </c>
      <c r="B77" s="292" t="s">
        <v>78</v>
      </c>
      <c r="C77" s="292"/>
      <c r="D77" s="292"/>
      <c r="E77" s="292"/>
      <c r="F77" s="292"/>
      <c r="G77" s="292"/>
      <c r="H77" s="292"/>
      <c r="I77" s="292"/>
      <c r="J77" s="292"/>
    </row>
    <row r="78" spans="1:9" ht="30.75" customHeight="1">
      <c r="A78" s="108"/>
      <c r="B78" s="109"/>
      <c r="C78" s="110"/>
      <c r="D78" s="297"/>
      <c r="E78" s="297"/>
      <c r="F78" s="297"/>
      <c r="G78" s="298"/>
      <c r="H78" s="298"/>
      <c r="I78" s="298"/>
    </row>
    <row r="79" spans="1:9" ht="30" customHeight="1">
      <c r="A79" s="108"/>
      <c r="B79" s="111"/>
      <c r="C79" s="112"/>
      <c r="D79" s="297"/>
      <c r="E79" s="297"/>
      <c r="F79" s="297"/>
      <c r="G79" s="298"/>
      <c r="H79" s="298"/>
      <c r="I79" s="298"/>
    </row>
    <row r="80" spans="1:9" ht="35.25" customHeight="1">
      <c r="A80" s="108"/>
      <c r="B80" s="113"/>
      <c r="C80" s="113"/>
      <c r="D80" s="299" t="s">
        <v>79</v>
      </c>
      <c r="E80" s="299"/>
      <c r="F80" s="299"/>
      <c r="G80" s="299" t="s">
        <v>80</v>
      </c>
      <c r="H80" s="299"/>
      <c r="I80" s="299"/>
    </row>
    <row r="81" spans="2:9" ht="20.25" customHeight="1">
      <c r="B81" s="113"/>
      <c r="C81" s="113"/>
      <c r="D81" s="299" t="s">
        <v>81</v>
      </c>
      <c r="E81" s="299"/>
      <c r="F81" s="209"/>
      <c r="G81" s="300" t="s">
        <v>82</v>
      </c>
      <c r="H81" s="300"/>
      <c r="I81" s="300"/>
    </row>
    <row r="82" spans="2:12" ht="15">
      <c r="B82" s="114"/>
      <c r="C82" s="295"/>
      <c r="D82" s="295"/>
      <c r="E82" s="5"/>
      <c r="F82" s="5"/>
      <c r="G82" s="5"/>
      <c r="H82" s="5"/>
      <c r="L82" s="223"/>
    </row>
    <row r="83" ht="15">
      <c r="B83"/>
    </row>
    <row r="84" spans="2:6" ht="15">
      <c r="B84" s="296"/>
      <c r="C84" s="296"/>
      <c r="D84" s="296"/>
      <c r="E84" s="296"/>
      <c r="F84" s="5"/>
    </row>
    <row r="88" spans="4:12" ht="15">
      <c r="D88" s="115"/>
      <c r="L88" s="115"/>
    </row>
    <row r="92" spans="4:12" ht="15">
      <c r="D92" s="116"/>
      <c r="L92" s="116"/>
    </row>
    <row r="104" spans="3:12" ht="15">
      <c r="C104" s="117"/>
      <c r="D104" s="117"/>
      <c r="L104" s="117"/>
    </row>
    <row r="105" spans="3:12" ht="15">
      <c r="C105" s="117"/>
      <c r="D105" s="117"/>
      <c r="L105" s="117"/>
    </row>
    <row r="107" spans="6:8" ht="15">
      <c r="F107" s="80"/>
      <c r="H107" s="79"/>
    </row>
    <row r="109" spans="3:12" ht="15">
      <c r="C109" s="118"/>
      <c r="D109" s="118"/>
      <c r="L109" s="118"/>
    </row>
    <row r="113" spans="3:12" ht="15">
      <c r="C113" s="118"/>
      <c r="D113" s="119"/>
      <c r="L113" s="119"/>
    </row>
  </sheetData>
  <sheetProtection/>
  <mergeCells count="39">
    <mergeCell ref="D81:E81"/>
    <mergeCell ref="G81:I81"/>
    <mergeCell ref="C82:D82"/>
    <mergeCell ref="B84:E84"/>
    <mergeCell ref="D80:F80"/>
    <mergeCell ref="G80:I80"/>
    <mergeCell ref="B70:J70"/>
    <mergeCell ref="B71:I71"/>
    <mergeCell ref="D78:F79"/>
    <mergeCell ref="G78:I79"/>
    <mergeCell ref="B77:J77"/>
    <mergeCell ref="D67:E67"/>
    <mergeCell ref="B76:J76"/>
    <mergeCell ref="C42:C44"/>
    <mergeCell ref="E42:E44"/>
    <mergeCell ref="G42:G44"/>
    <mergeCell ref="I42:I44"/>
    <mergeCell ref="D66:E66"/>
    <mergeCell ref="F66:G66"/>
    <mergeCell ref="H66:I66"/>
    <mergeCell ref="D64:E64"/>
    <mergeCell ref="F64:G64"/>
    <mergeCell ref="H64:I64"/>
    <mergeCell ref="B73:J73"/>
    <mergeCell ref="B75:J75"/>
    <mergeCell ref="B74:J74"/>
    <mergeCell ref="D65:E65"/>
    <mergeCell ref="F65:G65"/>
    <mergeCell ref="H65:I65"/>
    <mergeCell ref="B72:J72"/>
    <mergeCell ref="F67:G67"/>
    <mergeCell ref="H67:I67"/>
    <mergeCell ref="B69:J69"/>
    <mergeCell ref="B2:J2"/>
    <mergeCell ref="B3:J3"/>
    <mergeCell ref="B4:I4"/>
    <mergeCell ref="C5:D5"/>
    <mergeCell ref="E5:F5"/>
    <mergeCell ref="G5:I5"/>
  </mergeCells>
  <printOptions gridLines="1"/>
  <pageMargins left="0.7" right="0.7" top="0.75" bottom="0.75" header="0.3" footer="0.3"/>
  <pageSetup horizontalDpi="600" verticalDpi="600" orientation="portrait" scale="65" r:id="rId1"/>
  <rowBreaks count="1" manualBreakCount="1">
    <brk id="6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9">
      <selection activeCell="J35" sqref="J35"/>
    </sheetView>
  </sheetViews>
  <sheetFormatPr defaultColWidth="9.140625" defaultRowHeight="15"/>
  <cols>
    <col min="1" max="1" width="6.8515625" style="187" customWidth="1"/>
    <col min="2" max="2" width="40.140625" style="1" customWidth="1"/>
    <col min="3" max="3" width="11.57421875" style="1" customWidth="1"/>
    <col min="4" max="4" width="10.28125" style="1" customWidth="1"/>
    <col min="5" max="5" width="11.28125" style="1" customWidth="1"/>
    <col min="6" max="6" width="11.00390625" style="1" hidden="1" customWidth="1"/>
    <col min="7" max="7" width="11.00390625" style="1" customWidth="1"/>
    <col min="8" max="8" width="10.28125" style="1" customWidth="1"/>
    <col min="9" max="9" width="10.28125" style="1" hidden="1" customWidth="1"/>
    <col min="10" max="10" width="13.28125" style="1" customWidth="1"/>
    <col min="11" max="11" width="14.57421875" style="121" customWidth="1"/>
    <col min="12" max="12" width="14.421875" style="1" customWidth="1"/>
    <col min="13" max="16384" width="9.140625" style="1" customWidth="1"/>
  </cols>
  <sheetData>
    <row r="1" spans="1:10" ht="15.75">
      <c r="A1" s="120"/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8.75" customHeight="1">
      <c r="A2" s="120"/>
      <c r="B2" s="122" t="s">
        <v>83</v>
      </c>
      <c r="C2" s="123"/>
      <c r="D2" s="123"/>
      <c r="E2" s="123"/>
      <c r="F2" s="123"/>
      <c r="G2" s="123"/>
      <c r="H2" s="123"/>
      <c r="I2" s="123"/>
      <c r="J2" s="124" t="s">
        <v>84</v>
      </c>
    </row>
    <row r="3" spans="1:10" ht="15.75">
      <c r="A3" s="125"/>
      <c r="B3" s="305" t="s">
        <v>85</v>
      </c>
      <c r="C3" s="306"/>
      <c r="D3" s="306"/>
      <c r="E3" s="306"/>
      <c r="F3" s="306"/>
      <c r="G3" s="306"/>
      <c r="H3" s="306"/>
      <c r="I3" s="307"/>
      <c r="J3" s="308"/>
    </row>
    <row r="4" spans="1:10" ht="15.75">
      <c r="A4" s="126"/>
      <c r="B4" s="309" t="s">
        <v>86</v>
      </c>
      <c r="C4" s="310"/>
      <c r="D4" s="310"/>
      <c r="E4" s="310"/>
      <c r="F4" s="310"/>
      <c r="G4" s="310"/>
      <c r="H4" s="310"/>
      <c r="I4" s="311"/>
      <c r="J4" s="312"/>
    </row>
    <row r="5" spans="1:10" ht="15.75">
      <c r="A5" s="126"/>
      <c r="B5" s="313" t="s">
        <v>87</v>
      </c>
      <c r="C5" s="314"/>
      <c r="D5" s="314"/>
      <c r="E5" s="314"/>
      <c r="F5" s="314"/>
      <c r="G5" s="314"/>
      <c r="H5" s="314"/>
      <c r="I5" s="315"/>
      <c r="J5" s="316"/>
    </row>
    <row r="6" spans="1:11" s="133" customFormat="1" ht="54" customHeight="1">
      <c r="A6" s="127" t="s">
        <v>88</v>
      </c>
      <c r="B6" s="128" t="s">
        <v>89</v>
      </c>
      <c r="C6" s="317" t="s">
        <v>8</v>
      </c>
      <c r="D6" s="318"/>
      <c r="E6" s="319"/>
      <c r="F6" s="129" t="s">
        <v>133</v>
      </c>
      <c r="G6" s="221" t="s">
        <v>142</v>
      </c>
      <c r="H6" s="130" t="s">
        <v>143</v>
      </c>
      <c r="I6" s="221"/>
      <c r="J6" s="131" t="s">
        <v>144</v>
      </c>
      <c r="K6" s="132"/>
    </row>
    <row r="7" spans="1:10" ht="25.5" customHeight="1">
      <c r="A7" s="134"/>
      <c r="B7" s="135"/>
      <c r="C7" s="136" t="s">
        <v>90</v>
      </c>
      <c r="D7" s="137" t="s">
        <v>91</v>
      </c>
      <c r="E7" s="138" t="s">
        <v>74</v>
      </c>
      <c r="F7" s="139" t="s">
        <v>7</v>
      </c>
      <c r="G7" s="222" t="s">
        <v>7</v>
      </c>
      <c r="H7" s="140" t="s">
        <v>7</v>
      </c>
      <c r="I7" s="222"/>
      <c r="J7" s="141" t="s">
        <v>7</v>
      </c>
    </row>
    <row r="8" spans="1:12" ht="25.5" customHeight="1">
      <c r="A8" s="142">
        <v>1</v>
      </c>
      <c r="B8" s="143" t="s">
        <v>92</v>
      </c>
      <c r="C8" s="144">
        <f aca="true" t="shared" si="0" ref="C8:J8">SUM(C10:C12)</f>
        <v>19871.9</v>
      </c>
      <c r="D8" s="144">
        <f t="shared" si="0"/>
        <v>21489.18</v>
      </c>
      <c r="E8" s="145">
        <f t="shared" si="0"/>
        <v>41361.08</v>
      </c>
      <c r="F8" s="145">
        <f t="shared" si="0"/>
        <v>949.35</v>
      </c>
      <c r="G8" s="145">
        <f t="shared" si="0"/>
        <v>769.31</v>
      </c>
      <c r="H8" s="145">
        <f t="shared" si="0"/>
        <v>1718.66</v>
      </c>
      <c r="I8" s="146"/>
      <c r="J8" s="145">
        <f t="shared" si="0"/>
        <v>34438.11</v>
      </c>
      <c r="L8" s="121"/>
    </row>
    <row r="9" spans="1:12" ht="6.75" customHeight="1">
      <c r="A9" s="147"/>
      <c r="B9" s="148"/>
      <c r="C9" s="149"/>
      <c r="D9" s="149"/>
      <c r="E9" s="150"/>
      <c r="F9" s="151"/>
      <c r="G9" s="152"/>
      <c r="H9" s="152">
        <f>F9</f>
        <v>0</v>
      </c>
      <c r="I9" s="152"/>
      <c r="J9" s="153"/>
      <c r="L9" s="121"/>
    </row>
    <row r="10" spans="1:12" ht="26.25" customHeight="1">
      <c r="A10" s="147"/>
      <c r="B10" s="148" t="s">
        <v>93</v>
      </c>
      <c r="C10" s="149">
        <v>18224.61</v>
      </c>
      <c r="D10" s="149">
        <f>1264.778*10</f>
        <v>12647.78</v>
      </c>
      <c r="E10" s="154">
        <f>SUM(C10:D10)</f>
        <v>30872.39</v>
      </c>
      <c r="F10" s="151">
        <f>874.7+13.38</f>
        <v>888.08</v>
      </c>
      <c r="G10" s="151">
        <f>5.97+676.15</f>
        <v>682.12</v>
      </c>
      <c r="H10" s="151">
        <f>874.7+13.38+G10</f>
        <v>1570.2</v>
      </c>
      <c r="I10" s="151"/>
      <c r="J10" s="151">
        <f>31482.85+F10+G10</f>
        <v>33053.05</v>
      </c>
      <c r="L10" s="121"/>
    </row>
    <row r="11" spans="1:12" ht="18" customHeight="1">
      <c r="A11" s="147"/>
      <c r="B11" s="148" t="s">
        <v>94</v>
      </c>
      <c r="C11" s="149">
        <v>1193.49</v>
      </c>
      <c r="D11" s="149">
        <f>75.57*10</f>
        <v>755.6999999999999</v>
      </c>
      <c r="E11" s="154">
        <f>SUM(C11:D11)</f>
        <v>1949.19</v>
      </c>
      <c r="F11" s="151">
        <f>61.27</f>
        <v>61.27</v>
      </c>
      <c r="G11" s="151">
        <v>87.19</v>
      </c>
      <c r="H11" s="151">
        <f>61.27+G11</f>
        <v>148.46</v>
      </c>
      <c r="I11" s="151"/>
      <c r="J11" s="153">
        <f>397.1+F11+G11</f>
        <v>545.56</v>
      </c>
      <c r="L11" s="121"/>
    </row>
    <row r="12" spans="1:12" ht="27.75" customHeight="1">
      <c r="A12" s="155"/>
      <c r="B12" s="148" t="s">
        <v>95</v>
      </c>
      <c r="C12" s="156">
        <v>453.8</v>
      </c>
      <c r="D12" s="156">
        <f>808.57*10</f>
        <v>8085.700000000001</v>
      </c>
      <c r="E12" s="157">
        <f>SUM(C12:D12)</f>
        <v>8539.5</v>
      </c>
      <c r="F12" s="158">
        <v>0</v>
      </c>
      <c r="G12" s="158">
        <v>0</v>
      </c>
      <c r="H12" s="158">
        <v>0</v>
      </c>
      <c r="I12" s="158"/>
      <c r="J12" s="160">
        <f>839.5+F12+G12</f>
        <v>839.5</v>
      </c>
      <c r="L12" s="121"/>
    </row>
    <row r="13" spans="1:12" ht="15" customHeight="1">
      <c r="A13" s="142">
        <v>2</v>
      </c>
      <c r="B13" s="143" t="s">
        <v>96</v>
      </c>
      <c r="C13" s="161">
        <f>SUM(C15:C17)</f>
        <v>2486.83</v>
      </c>
      <c r="D13" s="161">
        <f>D15+D16+D17</f>
        <v>10543.52</v>
      </c>
      <c r="E13" s="161">
        <f>E15+E16+E17</f>
        <v>13030.350000000002</v>
      </c>
      <c r="F13" s="145">
        <f>F15+F16+F17</f>
        <v>62.57</v>
      </c>
      <c r="G13" s="145">
        <f>G15+G16+G17</f>
        <v>130.46</v>
      </c>
      <c r="H13" s="145">
        <f>SUM(H15:H17)</f>
        <v>193.03</v>
      </c>
      <c r="I13" s="146"/>
      <c r="J13" s="145">
        <f>SUM(J15:J17)</f>
        <v>1167.9799999999998</v>
      </c>
      <c r="L13" s="121"/>
    </row>
    <row r="14" spans="1:12" ht="6.75" customHeight="1">
      <c r="A14" s="147"/>
      <c r="B14" s="162"/>
      <c r="C14" s="149"/>
      <c r="D14" s="149"/>
      <c r="E14" s="154"/>
      <c r="F14" s="151"/>
      <c r="G14" s="152"/>
      <c r="H14" s="152">
        <f>F14</f>
        <v>0</v>
      </c>
      <c r="I14" s="152"/>
      <c r="J14" s="153"/>
      <c r="L14" s="121"/>
    </row>
    <row r="15" spans="1:12" ht="19.5" customHeight="1">
      <c r="A15" s="147"/>
      <c r="B15" s="148" t="s">
        <v>97</v>
      </c>
      <c r="C15" s="149">
        <v>1402.24</v>
      </c>
      <c r="D15" s="149">
        <v>3381.6</v>
      </c>
      <c r="E15" s="154">
        <f>SUM(C15:D15)</f>
        <v>4783.84</v>
      </c>
      <c r="F15" s="151">
        <f>10.71</f>
        <v>10.71</v>
      </c>
      <c r="G15" s="151">
        <v>2.94</v>
      </c>
      <c r="H15" s="151">
        <f>10.71+G15</f>
        <v>13.65</v>
      </c>
      <c r="I15" s="151"/>
      <c r="J15" s="153">
        <f>245.73+F15+G15</f>
        <v>259.38</v>
      </c>
      <c r="L15" s="121"/>
    </row>
    <row r="16" spans="1:12" ht="16.5" customHeight="1">
      <c r="A16" s="147"/>
      <c r="B16" s="148" t="s">
        <v>98</v>
      </c>
      <c r="C16" s="149">
        <v>871.3</v>
      </c>
      <c r="D16" s="149">
        <v>7161.92</v>
      </c>
      <c r="E16" s="154">
        <f>SUM(C16:D16)</f>
        <v>8033.22</v>
      </c>
      <c r="F16" s="151">
        <f>40.38+9.13+2.05</f>
        <v>51.56</v>
      </c>
      <c r="G16" s="151">
        <f>4.55+122.97</f>
        <v>127.52</v>
      </c>
      <c r="H16" s="151">
        <f>40.38+9.13+2.05+G16</f>
        <v>179.07999999999998</v>
      </c>
      <c r="I16" s="151"/>
      <c r="J16" s="153">
        <f>594.22+F16+G16</f>
        <v>773.3</v>
      </c>
      <c r="L16" s="121"/>
    </row>
    <row r="17" spans="1:12" ht="26.25" customHeight="1">
      <c r="A17" s="155"/>
      <c r="B17" s="148" t="s">
        <v>99</v>
      </c>
      <c r="C17" s="156">
        <v>213.29</v>
      </c>
      <c r="D17" s="156">
        <v>0</v>
      </c>
      <c r="E17" s="157">
        <f>SUM(C17:D17)</f>
        <v>213.29</v>
      </c>
      <c r="F17" s="158">
        <v>0.3</v>
      </c>
      <c r="G17" s="159">
        <v>0</v>
      </c>
      <c r="H17" s="271">
        <f>F17+0</f>
        <v>0.3</v>
      </c>
      <c r="I17" s="159"/>
      <c r="J17" s="160">
        <f>135+F17+G17</f>
        <v>135.3</v>
      </c>
      <c r="L17" s="121"/>
    </row>
    <row r="18" spans="1:12" ht="28.5" customHeight="1">
      <c r="A18" s="142">
        <v>3</v>
      </c>
      <c r="B18" s="163" t="s">
        <v>100</v>
      </c>
      <c r="C18" s="164">
        <f aca="true" t="shared" si="1" ref="C18:J18">SUM(C20:C23)</f>
        <v>11617.27</v>
      </c>
      <c r="D18" s="161">
        <f t="shared" si="1"/>
        <v>16255.970000000001</v>
      </c>
      <c r="E18" s="165">
        <f t="shared" si="1"/>
        <v>27873.24</v>
      </c>
      <c r="F18" s="166">
        <f t="shared" si="1"/>
        <v>2878.49</v>
      </c>
      <c r="G18" s="166">
        <f t="shared" si="1"/>
        <v>221.67999999999998</v>
      </c>
      <c r="H18" s="272">
        <f t="shared" si="1"/>
        <v>3100.17</v>
      </c>
      <c r="I18" s="146"/>
      <c r="J18" s="145">
        <f t="shared" si="1"/>
        <v>12325.73</v>
      </c>
      <c r="L18" s="121"/>
    </row>
    <row r="19" spans="1:12" ht="7.5" customHeight="1">
      <c r="A19" s="147"/>
      <c r="B19" s="167"/>
      <c r="C19" s="168"/>
      <c r="D19" s="169"/>
      <c r="E19" s="154">
        <f aca="true" t="shared" si="2" ref="E19:E34">SUM(C19:D19)</f>
        <v>0</v>
      </c>
      <c r="F19" s="152"/>
      <c r="G19" s="152"/>
      <c r="H19" s="273">
        <f>F19</f>
        <v>0</v>
      </c>
      <c r="I19" s="152"/>
      <c r="J19" s="153"/>
      <c r="L19" s="121"/>
    </row>
    <row r="20" spans="1:12" ht="28.5" customHeight="1">
      <c r="A20" s="147"/>
      <c r="B20" s="170" t="s">
        <v>101</v>
      </c>
      <c r="C20" s="171">
        <v>3058.61</v>
      </c>
      <c r="D20" s="169">
        <v>11474.95</v>
      </c>
      <c r="E20" s="154">
        <f>SUM(C20:D20)</f>
        <v>14533.560000000001</v>
      </c>
      <c r="F20" s="151">
        <f>2523.83+34.75</f>
        <v>2558.58</v>
      </c>
      <c r="G20" s="151">
        <f>6.37</f>
        <v>6.37</v>
      </c>
      <c r="H20" s="270">
        <f>2523.83+34.75+G20</f>
        <v>2564.95</v>
      </c>
      <c r="I20" s="152"/>
      <c r="J20" s="153">
        <f>4474.39+F20+G20</f>
        <v>7039.34</v>
      </c>
      <c r="L20" s="121"/>
    </row>
    <row r="21" spans="1:14" s="4" customFormat="1" ht="18.75" customHeight="1">
      <c r="A21" s="172"/>
      <c r="B21" s="170" t="s">
        <v>102</v>
      </c>
      <c r="C21" s="171">
        <v>353.96</v>
      </c>
      <c r="D21" s="169">
        <f>34.715*10</f>
        <v>347.15000000000003</v>
      </c>
      <c r="E21" s="154">
        <f t="shared" si="2"/>
        <v>701.11</v>
      </c>
      <c r="F21" s="151">
        <f>1.76+9.28+31.16</f>
        <v>42.2</v>
      </c>
      <c r="G21" s="151">
        <v>2.33</v>
      </c>
      <c r="H21" s="270">
        <f>1.76+9.28+31.16+G21</f>
        <v>44.53</v>
      </c>
      <c r="I21" s="152"/>
      <c r="J21" s="153">
        <f>201.72+F21+G21</f>
        <v>246.25000000000003</v>
      </c>
      <c r="K21" s="121"/>
      <c r="L21" s="121"/>
      <c r="N21" s="1"/>
    </row>
    <row r="22" spans="1:14" s="4" customFormat="1" ht="25.5">
      <c r="A22" s="172"/>
      <c r="B22" s="170" t="s">
        <v>103</v>
      </c>
      <c r="C22" s="171">
        <v>2473.21</v>
      </c>
      <c r="D22" s="169">
        <f>90.55*10</f>
        <v>905.5</v>
      </c>
      <c r="E22" s="154">
        <f t="shared" si="2"/>
        <v>3378.71</v>
      </c>
      <c r="F22" s="151">
        <f>1</f>
        <v>1</v>
      </c>
      <c r="G22" s="151">
        <v>2.12</v>
      </c>
      <c r="H22" s="270">
        <f>1+G22</f>
        <v>3.12</v>
      </c>
      <c r="I22" s="152"/>
      <c r="J22" s="153">
        <f>484.68+F22+G22</f>
        <v>487.8</v>
      </c>
      <c r="K22" s="121"/>
      <c r="L22" s="121"/>
      <c r="N22" s="1"/>
    </row>
    <row r="23" spans="1:14" s="4" customFormat="1" ht="25.5">
      <c r="A23" s="172"/>
      <c r="B23" s="170" t="s">
        <v>104</v>
      </c>
      <c r="C23" s="171">
        <v>5731.49</v>
      </c>
      <c r="D23" s="169">
        <f>3528.37</f>
        <v>3528.37</v>
      </c>
      <c r="E23" s="154">
        <f t="shared" si="2"/>
        <v>9259.86</v>
      </c>
      <c r="F23" s="151">
        <f>F24+F25+F26</f>
        <v>276.71</v>
      </c>
      <c r="G23" s="151">
        <f>G24+G25+G26</f>
        <v>210.85999999999999</v>
      </c>
      <c r="H23" s="270">
        <f>H24+H25+H26</f>
        <v>487.57</v>
      </c>
      <c r="I23" s="152"/>
      <c r="J23" s="153">
        <f>J24+J25+J26</f>
        <v>4552.34</v>
      </c>
      <c r="K23" s="121"/>
      <c r="L23" s="121"/>
      <c r="N23" s="1"/>
    </row>
    <row r="24" spans="1:12" ht="16.5" customHeight="1">
      <c r="A24" s="147"/>
      <c r="B24" s="173" t="s">
        <v>105</v>
      </c>
      <c r="C24" s="171"/>
      <c r="D24" s="149"/>
      <c r="E24" s="154">
        <f t="shared" si="2"/>
        <v>0</v>
      </c>
      <c r="F24" s="151"/>
      <c r="G24" s="151"/>
      <c r="H24" s="270">
        <f>0+F24</f>
        <v>0</v>
      </c>
      <c r="I24" s="152"/>
      <c r="J24" s="153">
        <f>253.91+F24+G24</f>
        <v>253.91</v>
      </c>
      <c r="L24" s="121"/>
    </row>
    <row r="25" spans="1:12" ht="16.5" customHeight="1">
      <c r="A25" s="147"/>
      <c r="B25" s="173" t="s">
        <v>106</v>
      </c>
      <c r="C25" s="171"/>
      <c r="D25" s="149"/>
      <c r="E25" s="154">
        <f t="shared" si="2"/>
        <v>0</v>
      </c>
      <c r="F25" s="151">
        <f>1.08</f>
        <v>1.08</v>
      </c>
      <c r="G25" s="151">
        <v>1.35</v>
      </c>
      <c r="H25" s="270">
        <f>1.08+G25</f>
        <v>2.43</v>
      </c>
      <c r="I25" s="152"/>
      <c r="J25" s="153">
        <f>78.1+F25+G25</f>
        <v>80.52999999999999</v>
      </c>
      <c r="L25" s="121"/>
    </row>
    <row r="26" spans="1:12" ht="15" customHeight="1">
      <c r="A26" s="155"/>
      <c r="B26" s="173" t="s">
        <v>107</v>
      </c>
      <c r="C26" s="171"/>
      <c r="D26" s="156"/>
      <c r="E26" s="157">
        <f t="shared" si="2"/>
        <v>0</v>
      </c>
      <c r="F26" s="158">
        <f>79.75+7.69+185.68+2.51</f>
        <v>275.63</v>
      </c>
      <c r="G26" s="158">
        <f>206.56+2.73+0.22</f>
        <v>209.51</v>
      </c>
      <c r="H26" s="271">
        <f>275.63+G26</f>
        <v>485.14</v>
      </c>
      <c r="I26" s="159"/>
      <c r="J26" s="160">
        <f>3732.76+F26+G26</f>
        <v>4217.900000000001</v>
      </c>
      <c r="L26" s="121"/>
    </row>
    <row r="27" spans="1:14" s="4" customFormat="1" ht="38.25">
      <c r="A27" s="174">
        <v>4</v>
      </c>
      <c r="B27" s="163" t="s">
        <v>108</v>
      </c>
      <c r="C27" s="175">
        <f>SUM(C29:C32)</f>
        <v>23098.43</v>
      </c>
      <c r="D27" s="144">
        <f>SUM(D29:D34)</f>
        <v>14486.2</v>
      </c>
      <c r="E27" s="144">
        <f>SUM(E29:E34)</f>
        <v>40225.75</v>
      </c>
      <c r="F27" s="145">
        <f>SUM(F29:F34)</f>
        <v>865.15</v>
      </c>
      <c r="G27" s="145">
        <f>SUM(G29:G34)</f>
        <v>888.17</v>
      </c>
      <c r="H27" s="145">
        <f>SUM(H28:H34)</f>
        <v>1753.32</v>
      </c>
      <c r="I27" s="146"/>
      <c r="J27" s="145">
        <f>SUM(J28:J34)</f>
        <v>17684.829999999998</v>
      </c>
      <c r="K27" s="121"/>
      <c r="L27" s="121"/>
      <c r="N27" s="1"/>
    </row>
    <row r="28" spans="1:14" s="4" customFormat="1" ht="8.25" customHeight="1">
      <c r="A28" s="176"/>
      <c r="B28" s="167"/>
      <c r="C28" s="168"/>
      <c r="D28" s="169"/>
      <c r="E28" s="169">
        <f t="shared" si="2"/>
        <v>0</v>
      </c>
      <c r="F28" s="151"/>
      <c r="G28" s="151"/>
      <c r="H28" s="151">
        <f>F28</f>
        <v>0</v>
      </c>
      <c r="I28" s="152"/>
      <c r="J28" s="153"/>
      <c r="K28" s="121"/>
      <c r="L28" s="121"/>
      <c r="N28" s="1"/>
    </row>
    <row r="29" spans="1:12" ht="27.75" customHeight="1">
      <c r="A29" s="177"/>
      <c r="B29" s="170" t="s">
        <v>109</v>
      </c>
      <c r="C29" s="171">
        <v>14435.38</v>
      </c>
      <c r="D29" s="149">
        <v>0</v>
      </c>
      <c r="E29" s="169">
        <f t="shared" si="2"/>
        <v>14435.38</v>
      </c>
      <c r="F29" s="151">
        <f>824.9+37.16</f>
        <v>862.06</v>
      </c>
      <c r="G29" s="151">
        <v>678.22</v>
      </c>
      <c r="H29" s="151">
        <f>824.9+37.16+G29</f>
        <v>1540.28</v>
      </c>
      <c r="I29" s="151"/>
      <c r="J29" s="153">
        <f>11103.11+F29+G29</f>
        <v>12643.39</v>
      </c>
      <c r="L29" s="121"/>
    </row>
    <row r="30" spans="1:12" ht="18" customHeight="1">
      <c r="A30" s="177"/>
      <c r="B30" s="170" t="s">
        <v>110</v>
      </c>
      <c r="C30" s="171">
        <v>4560.69</v>
      </c>
      <c r="D30" s="149">
        <f>557.36*10</f>
        <v>5573.6</v>
      </c>
      <c r="E30" s="169">
        <f t="shared" si="2"/>
        <v>10134.29</v>
      </c>
      <c r="F30" s="151">
        <f>0</f>
        <v>0</v>
      </c>
      <c r="G30" s="151">
        <v>208.05</v>
      </c>
      <c r="H30" s="151">
        <f>G30</f>
        <v>208.05</v>
      </c>
      <c r="I30" s="151"/>
      <c r="J30" s="153">
        <f>4226.68+F30+G30</f>
        <v>4434.7300000000005</v>
      </c>
      <c r="L30" s="121"/>
    </row>
    <row r="31" spans="1:12" ht="24.75" customHeight="1">
      <c r="A31" s="177"/>
      <c r="B31" s="170" t="s">
        <v>111</v>
      </c>
      <c r="C31" s="171">
        <v>2573.05</v>
      </c>
      <c r="D31" s="149">
        <f>891.26*10</f>
        <v>8912.6</v>
      </c>
      <c r="E31" s="169">
        <f t="shared" si="2"/>
        <v>11485.650000000001</v>
      </c>
      <c r="F31" s="151">
        <f>3.09</f>
        <v>3.09</v>
      </c>
      <c r="G31" s="151">
        <v>1.9</v>
      </c>
      <c r="H31" s="151">
        <f>3.09+G31</f>
        <v>4.99</v>
      </c>
      <c r="I31" s="151"/>
      <c r="J31" s="153">
        <f>601.72+F31+G31</f>
        <v>606.71</v>
      </c>
      <c r="L31" s="121"/>
    </row>
    <row r="32" spans="1:12" ht="15.75" customHeight="1">
      <c r="A32" s="177"/>
      <c r="B32" s="170" t="s">
        <v>112</v>
      </c>
      <c r="C32" s="171">
        <v>1529.31</v>
      </c>
      <c r="D32" s="149">
        <v>0</v>
      </c>
      <c r="E32" s="169">
        <f t="shared" si="2"/>
        <v>1529.31</v>
      </c>
      <c r="F32" s="151"/>
      <c r="G32" s="151"/>
      <c r="H32" s="151"/>
      <c r="I32" s="270"/>
      <c r="J32" s="153"/>
      <c r="L32" s="121"/>
    </row>
    <row r="33" spans="1:12" ht="7.5" customHeight="1">
      <c r="A33" s="177"/>
      <c r="B33" s="170"/>
      <c r="C33" s="171"/>
      <c r="D33" s="149"/>
      <c r="E33" s="169">
        <f t="shared" si="2"/>
        <v>0</v>
      </c>
      <c r="F33" s="151"/>
      <c r="G33" s="151"/>
      <c r="H33" s="151"/>
      <c r="I33" s="270"/>
      <c r="J33" s="153"/>
      <c r="L33" s="121"/>
    </row>
    <row r="34" spans="1:12" ht="15.75" customHeight="1">
      <c r="A34" s="177"/>
      <c r="B34" s="170" t="s">
        <v>113</v>
      </c>
      <c r="C34" s="171">
        <f>1592.84+1048.28</f>
        <v>2641.12</v>
      </c>
      <c r="D34" s="156">
        <v>0</v>
      </c>
      <c r="E34" s="178">
        <f t="shared" si="2"/>
        <v>2641.12</v>
      </c>
      <c r="F34" s="158"/>
      <c r="G34" s="158"/>
      <c r="H34" s="158"/>
      <c r="I34" s="271"/>
      <c r="J34" s="160"/>
      <c r="L34" s="121"/>
    </row>
    <row r="35" spans="1:14" s="4" customFormat="1" ht="17.25" customHeight="1">
      <c r="A35" s="179"/>
      <c r="B35" s="180" t="s">
        <v>74</v>
      </c>
      <c r="C35" s="181">
        <f>C8+C13+C18+C27+C34</f>
        <v>59715.55</v>
      </c>
      <c r="D35" s="182">
        <f>D8+D13+D18+D27+D34</f>
        <v>62774.869999999995</v>
      </c>
      <c r="E35" s="183">
        <v>122936.77</v>
      </c>
      <c r="F35" s="184">
        <f>F8+F13+F18+F27</f>
        <v>4755.5599999999995</v>
      </c>
      <c r="G35" s="184">
        <f>G8+G13+G18+G27</f>
        <v>2009.62</v>
      </c>
      <c r="H35" s="182">
        <f>H8+H13+H18+H27</f>
        <v>6765.18</v>
      </c>
      <c r="I35" s="268"/>
      <c r="J35" s="184">
        <f>J8+J13+J18+J27</f>
        <v>65616.65000000001</v>
      </c>
      <c r="K35" s="274"/>
      <c r="L35" s="121"/>
      <c r="N35" s="1"/>
    </row>
    <row r="36" spans="1:12" ht="15">
      <c r="A36" s="185"/>
      <c r="B36" s="186"/>
      <c r="C36" s="185"/>
      <c r="D36" s="297"/>
      <c r="E36" s="297"/>
      <c r="F36" s="297"/>
      <c r="G36" s="185"/>
      <c r="H36" s="320"/>
      <c r="I36" s="320"/>
      <c r="J36" s="320"/>
      <c r="L36" s="121"/>
    </row>
    <row r="37" spans="1:12" ht="15">
      <c r="A37" s="185"/>
      <c r="B37" s="185"/>
      <c r="C37" s="185"/>
      <c r="D37" s="297"/>
      <c r="E37" s="297"/>
      <c r="F37" s="297"/>
      <c r="G37" s="185"/>
      <c r="H37" s="320"/>
      <c r="I37" s="320"/>
      <c r="J37" s="320"/>
      <c r="L37" s="121"/>
    </row>
    <row r="38" spans="1:12" ht="15">
      <c r="A38" s="185"/>
      <c r="B38" s="185"/>
      <c r="C38" s="185"/>
      <c r="D38" s="297"/>
      <c r="E38" s="297"/>
      <c r="F38" s="297"/>
      <c r="G38" s="185"/>
      <c r="H38" s="320"/>
      <c r="I38" s="320"/>
      <c r="J38" s="320"/>
      <c r="L38" s="121"/>
    </row>
    <row r="39" spans="1:10" ht="15">
      <c r="A39" s="185"/>
      <c r="B39" s="185"/>
      <c r="C39" s="185"/>
      <c r="D39" s="297"/>
      <c r="E39" s="297"/>
      <c r="F39" s="297"/>
      <c r="G39" s="185"/>
      <c r="H39" s="320"/>
      <c r="I39" s="320"/>
      <c r="J39" s="320"/>
    </row>
    <row r="40" spans="1:10" ht="15">
      <c r="A40" s="185"/>
      <c r="B40" s="185"/>
      <c r="C40" s="185"/>
      <c r="D40" s="297"/>
      <c r="E40" s="297"/>
      <c r="F40" s="297"/>
      <c r="G40" s="185"/>
      <c r="H40" s="320"/>
      <c r="I40" s="320"/>
      <c r="J40" s="320"/>
    </row>
    <row r="41" spans="1:10" ht="15">
      <c r="A41" s="185"/>
      <c r="B41" s="185"/>
      <c r="C41" s="185"/>
      <c r="D41" s="297"/>
      <c r="E41" s="297"/>
      <c r="F41" s="297"/>
      <c r="G41" s="185"/>
      <c r="H41" s="320"/>
      <c r="I41" s="320"/>
      <c r="J41" s="320"/>
    </row>
    <row r="42" spans="1:10" ht="35.25" customHeight="1">
      <c r="A42" s="185"/>
      <c r="B42" s="185"/>
      <c r="C42" s="185"/>
      <c r="D42" s="302" t="s">
        <v>79</v>
      </c>
      <c r="E42" s="302"/>
      <c r="F42" s="302"/>
      <c r="G42" s="220"/>
      <c r="H42" s="303" t="s">
        <v>114</v>
      </c>
      <c r="I42" s="303"/>
      <c r="J42" s="303"/>
    </row>
    <row r="45" spans="6:9" ht="15">
      <c r="F45" s="188"/>
      <c r="G45" s="188"/>
      <c r="H45" s="188"/>
      <c r="I45" s="188"/>
    </row>
    <row r="46" spans="5:7" ht="15">
      <c r="E46" s="188">
        <v>273327</v>
      </c>
      <c r="F46" s="269">
        <f>E46/100000</f>
        <v>2.73327</v>
      </c>
      <c r="G46" s="188"/>
    </row>
    <row r="47" spans="5:6" ht="15">
      <c r="E47" s="1">
        <v>70122694</v>
      </c>
      <c r="F47" s="269">
        <f>E47/100000</f>
        <v>701.22694</v>
      </c>
    </row>
    <row r="48" spans="5:6" ht="15">
      <c r="E48" s="1">
        <v>12296766</v>
      </c>
      <c r="F48" s="269">
        <f>E48/100000</f>
        <v>122.96766</v>
      </c>
    </row>
    <row r="49" spans="5:6" ht="15">
      <c r="E49" s="1">
        <v>67615476</v>
      </c>
      <c r="F49" s="269">
        <f>E49/100000</f>
        <v>676.15476</v>
      </c>
    </row>
    <row r="50" spans="5:6" ht="15">
      <c r="E50" s="1">
        <f>SUM(E46:E49)</f>
        <v>150308263</v>
      </c>
      <c r="F50" s="269">
        <f>E50/100000</f>
        <v>1503.08263</v>
      </c>
    </row>
    <row r="53" ht="15">
      <c r="B53" s="189"/>
    </row>
  </sheetData>
  <sheetProtection/>
  <mergeCells count="9">
    <mergeCell ref="D42:F42"/>
    <mergeCell ref="H42:J42"/>
    <mergeCell ref="B1:J1"/>
    <mergeCell ref="B3:J3"/>
    <mergeCell ref="B4:J4"/>
    <mergeCell ref="B5:J5"/>
    <mergeCell ref="C6:E6"/>
    <mergeCell ref="D36:F41"/>
    <mergeCell ref="H36:J41"/>
  </mergeCells>
  <printOptions gridLines="1" horizontalCentered="1" verticalCentered="1"/>
  <pageMargins left="0.7" right="0.7" top="0.75" bottom="0.75" header="0.3" footer="0.3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D11" sqref="D11"/>
    </sheetView>
  </sheetViews>
  <sheetFormatPr defaultColWidth="34.57421875" defaultRowHeight="43.5" customHeight="1"/>
  <cols>
    <col min="1" max="1" width="4.7109375" style="191" customWidth="1"/>
    <col min="2" max="2" width="16.7109375" style="191" customWidth="1"/>
    <col min="3" max="3" width="13.140625" style="191" customWidth="1"/>
    <col min="4" max="4" width="36.8515625" style="191" customWidth="1"/>
    <col min="5" max="5" width="9.140625" style="191" customWidth="1"/>
    <col min="6" max="6" width="10.7109375" style="191" customWidth="1"/>
    <col min="7" max="7" width="12.28125" style="191" customWidth="1"/>
    <col min="8" max="8" width="18.00390625" style="191" customWidth="1"/>
    <col min="9" max="16384" width="34.57421875" style="191" customWidth="1"/>
  </cols>
  <sheetData>
    <row r="1" spans="1:8" ht="19.5" customHeight="1">
      <c r="A1" s="190" t="s">
        <v>115</v>
      </c>
      <c r="B1" s="20"/>
      <c r="F1" s="192" t="s">
        <v>116</v>
      </c>
      <c r="H1" s="218" t="s">
        <v>132</v>
      </c>
    </row>
    <row r="2" spans="1:8" ht="18.75" customHeight="1">
      <c r="A2" s="190" t="s">
        <v>145</v>
      </c>
      <c r="B2" s="20"/>
      <c r="H2" s="192"/>
    </row>
    <row r="3" ht="18" customHeight="1">
      <c r="A3" s="190" t="s">
        <v>128</v>
      </c>
    </row>
    <row r="4" ht="13.5" customHeight="1">
      <c r="H4" s="193" t="s">
        <v>117</v>
      </c>
    </row>
    <row r="5" spans="1:14" ht="41.25" customHeight="1">
      <c r="A5" s="206" t="s">
        <v>88</v>
      </c>
      <c r="B5" s="206" t="s">
        <v>118</v>
      </c>
      <c r="C5" s="206" t="s">
        <v>119</v>
      </c>
      <c r="D5" s="206" t="s">
        <v>120</v>
      </c>
      <c r="E5" s="206" t="s">
        <v>69</v>
      </c>
      <c r="F5" s="206" t="s">
        <v>121</v>
      </c>
      <c r="G5" s="194" t="s">
        <v>122</v>
      </c>
      <c r="H5" s="206" t="s">
        <v>124</v>
      </c>
      <c r="I5" s="195"/>
      <c r="J5" s="195"/>
      <c r="K5" s="195"/>
      <c r="L5" s="195"/>
      <c r="M5" s="195"/>
      <c r="N5" s="195"/>
    </row>
    <row r="6" spans="1:8" ht="18.75" customHeight="1">
      <c r="A6" s="196"/>
      <c r="C6" s="197"/>
      <c r="E6" s="322"/>
      <c r="F6" s="198"/>
      <c r="G6" s="199"/>
      <c r="H6" s="200"/>
    </row>
    <row r="7" spans="1:8" ht="18.75" customHeight="1">
      <c r="A7" s="196"/>
      <c r="C7" s="197"/>
      <c r="E7" s="322"/>
      <c r="F7" s="198"/>
      <c r="G7" s="199"/>
      <c r="H7" s="200"/>
    </row>
    <row r="8" spans="1:8" ht="18" customHeight="1">
      <c r="A8" s="196"/>
      <c r="C8" s="201"/>
      <c r="D8" s="192" t="s">
        <v>146</v>
      </c>
      <c r="E8" s="322"/>
      <c r="F8" s="198"/>
      <c r="G8" s="199"/>
      <c r="H8" s="200"/>
    </row>
    <row r="9" spans="1:8" ht="18" customHeight="1">
      <c r="A9" s="202"/>
      <c r="B9" s="323"/>
      <c r="C9" s="323"/>
      <c r="D9" s="323"/>
      <c r="E9" s="203"/>
      <c r="F9" s="204"/>
      <c r="G9" s="204"/>
      <c r="H9" s="204"/>
    </row>
    <row r="10" ht="12.75" customHeight="1"/>
    <row r="11" ht="12.75" customHeight="1"/>
    <row r="12" spans="4:7" ht="12.75" customHeight="1">
      <c r="D12" s="321" t="s">
        <v>79</v>
      </c>
      <c r="E12" s="321"/>
      <c r="F12" s="321"/>
      <c r="G12" s="218" t="s">
        <v>80</v>
      </c>
    </row>
    <row r="13" spans="4:7" ht="12.75" customHeight="1">
      <c r="D13" s="219" t="s">
        <v>82</v>
      </c>
      <c r="G13" s="219" t="s">
        <v>82</v>
      </c>
    </row>
    <row r="14" ht="12.75" customHeight="1">
      <c r="E14" s="205"/>
    </row>
    <row r="15" ht="12.75" customHeight="1">
      <c r="E15" s="205"/>
    </row>
    <row r="16" ht="12.75" customHeight="1">
      <c r="E16" s="205"/>
    </row>
    <row r="17" ht="12.75" customHeight="1"/>
    <row r="18" ht="12.75" customHeight="1"/>
    <row r="19" ht="12.75" customHeight="1"/>
    <row r="20" ht="12.75" customHeight="1"/>
  </sheetData>
  <sheetProtection/>
  <mergeCells count="3">
    <mergeCell ref="D12:F12"/>
    <mergeCell ref="E6:E8"/>
    <mergeCell ref="B9:D9"/>
  </mergeCells>
  <printOptions gridLines="1" horizontalCentered="1" vertic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TNHSP</dc:creator>
  <cp:keywords/>
  <dc:description/>
  <cp:lastModifiedBy>TNHSP</cp:lastModifiedBy>
  <cp:lastPrinted>2011-12-16T13:36:31Z</cp:lastPrinted>
  <dcterms:created xsi:type="dcterms:W3CDTF">2011-08-22T12:10:30Z</dcterms:created>
  <dcterms:modified xsi:type="dcterms:W3CDTF">2011-12-16T13:36:47Z</dcterms:modified>
  <cp:category/>
  <cp:version/>
  <cp:contentType/>
  <cp:contentStatus/>
</cp:coreProperties>
</file>